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vanderlinden\Desktop\Website\2022\"/>
    </mc:Choice>
  </mc:AlternateContent>
  <xr:revisionPtr revIDLastSave="0" documentId="8_{5E55E519-F087-4B9C-8ED4-0AA87842A49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MGD" sheetId="1" r:id="rId1"/>
    <sheet name="g_en_c-factors" sheetId="3" r:id="rId2"/>
    <sheet name="S-factors" sheetId="2" r:id="rId3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3" i="1" l="1"/>
  <c r="P14" i="1"/>
  <c r="P15" i="1"/>
  <c r="P16" i="1"/>
  <c r="P17" i="1"/>
  <c r="P18" i="1"/>
  <c r="P19" i="1"/>
  <c r="P20" i="1"/>
  <c r="P12" i="1"/>
  <c r="K24" i="2" l="1"/>
  <c r="L24" i="2"/>
  <c r="M24" i="2"/>
  <c r="N24" i="2"/>
  <c r="O24" i="2"/>
  <c r="P24" i="2"/>
  <c r="Q24" i="2"/>
  <c r="R24" i="2"/>
  <c r="S24" i="2"/>
  <c r="J24" i="2"/>
  <c r="N7" i="3"/>
  <c r="N34" i="3"/>
  <c r="Y34" i="3" s="1"/>
  <c r="O34" i="3"/>
  <c r="Z34" i="3" s="1"/>
  <c r="P34" i="3"/>
  <c r="AA34" i="3" s="1"/>
  <c r="Q34" i="3"/>
  <c r="AB34" i="3" s="1"/>
  <c r="R34" i="3"/>
  <c r="AC34" i="3" s="1"/>
  <c r="S34" i="3"/>
  <c r="AD34" i="3" s="1"/>
  <c r="T34" i="3"/>
  <c r="AE34" i="3" s="1"/>
  <c r="U34" i="3"/>
  <c r="AF34" i="3" s="1"/>
  <c r="V34" i="3"/>
  <c r="AG34" i="3" s="1"/>
  <c r="W34" i="3"/>
  <c r="AH34" i="3" s="1"/>
  <c r="X34" i="3"/>
  <c r="AI34" i="3"/>
  <c r="N35" i="3"/>
  <c r="R14" i="2" l="1"/>
  <c r="Q14" i="2"/>
  <c r="P14" i="2"/>
  <c r="O14" i="2"/>
  <c r="N14" i="2"/>
  <c r="M14" i="2"/>
  <c r="L14" i="2"/>
  <c r="K14" i="2"/>
  <c r="J14" i="2"/>
  <c r="W14" i="3"/>
  <c r="X14" i="3"/>
  <c r="AH14" i="3"/>
  <c r="W15" i="3"/>
  <c r="X15" i="3"/>
  <c r="AI15" i="3" s="1"/>
  <c r="W16" i="3"/>
  <c r="X16" i="3"/>
  <c r="AI16" i="3" s="1"/>
  <c r="AH16" i="3"/>
  <c r="N39" i="3"/>
  <c r="Y39" i="3" s="1"/>
  <c r="O39" i="3"/>
  <c r="Z39" i="3" s="1"/>
  <c r="P39" i="3"/>
  <c r="AA39" i="3" s="1"/>
  <c r="Q39" i="3"/>
  <c r="R39" i="3"/>
  <c r="AC39" i="3" s="1"/>
  <c r="S39" i="3"/>
  <c r="T39" i="3"/>
  <c r="AE39" i="3" s="1"/>
  <c r="U39" i="3"/>
  <c r="V39" i="3"/>
  <c r="AG39" i="3" s="1"/>
  <c r="W39" i="3"/>
  <c r="X39" i="3"/>
  <c r="AI39" i="3" s="1"/>
  <c r="AB39" i="3"/>
  <c r="AD39" i="3"/>
  <c r="AF39" i="3"/>
  <c r="AH39" i="3"/>
  <c r="N40" i="3"/>
  <c r="Y40" i="3" s="1"/>
  <c r="O40" i="3"/>
  <c r="Z40" i="3" s="1"/>
  <c r="P40" i="3"/>
  <c r="AA40" i="3" s="1"/>
  <c r="Q40" i="3"/>
  <c r="AB40" i="3" s="1"/>
  <c r="R40" i="3"/>
  <c r="AC40" i="3" s="1"/>
  <c r="S40" i="3"/>
  <c r="AD40" i="3" s="1"/>
  <c r="T40" i="3"/>
  <c r="AE40" i="3" s="1"/>
  <c r="U40" i="3"/>
  <c r="V40" i="3"/>
  <c r="AG40" i="3" s="1"/>
  <c r="W40" i="3"/>
  <c r="X40" i="3"/>
  <c r="AI40" i="3" s="1"/>
  <c r="AF40" i="3"/>
  <c r="AH40" i="3"/>
  <c r="N41" i="3"/>
  <c r="Y41" i="3" s="1"/>
  <c r="O41" i="3"/>
  <c r="Z41" i="3" s="1"/>
  <c r="P41" i="3"/>
  <c r="AA41" i="3" s="1"/>
  <c r="Q41" i="3"/>
  <c r="AB41" i="3" s="1"/>
  <c r="R41" i="3"/>
  <c r="AC41" i="3" s="1"/>
  <c r="S41" i="3"/>
  <c r="AD41" i="3" s="1"/>
  <c r="T41" i="3"/>
  <c r="AE41" i="3" s="1"/>
  <c r="U41" i="3"/>
  <c r="AF41" i="3" s="1"/>
  <c r="V41" i="3"/>
  <c r="AG41" i="3" s="1"/>
  <c r="W41" i="3"/>
  <c r="AH41" i="3" s="1"/>
  <c r="X41" i="3"/>
  <c r="AI41" i="3" s="1"/>
  <c r="N42" i="3"/>
  <c r="Y42" i="3" s="1"/>
  <c r="O42" i="3"/>
  <c r="P42" i="3"/>
  <c r="AA42" i="3" s="1"/>
  <c r="Q42" i="3"/>
  <c r="AB42" i="3" s="1"/>
  <c r="R42" i="3"/>
  <c r="AC42" i="3" s="1"/>
  <c r="S42" i="3"/>
  <c r="AD42" i="3" s="1"/>
  <c r="T42" i="3"/>
  <c r="AE42" i="3" s="1"/>
  <c r="U42" i="3"/>
  <c r="AF42" i="3" s="1"/>
  <c r="V42" i="3"/>
  <c r="AG42" i="3" s="1"/>
  <c r="W42" i="3"/>
  <c r="AH42" i="3" s="1"/>
  <c r="X42" i="3"/>
  <c r="AI42" i="3" s="1"/>
  <c r="Z42" i="3"/>
  <c r="N43" i="3"/>
  <c r="Y43" i="3" s="1"/>
  <c r="O43" i="3"/>
  <c r="Z43" i="3" s="1"/>
  <c r="P43" i="3"/>
  <c r="AA43" i="3" s="1"/>
  <c r="Q43" i="3"/>
  <c r="AB43" i="3" s="1"/>
  <c r="R43" i="3"/>
  <c r="AC43" i="3" s="1"/>
  <c r="S43" i="3"/>
  <c r="AD43" i="3" s="1"/>
  <c r="T43" i="3"/>
  <c r="AE43" i="3" s="1"/>
  <c r="U43" i="3"/>
  <c r="AF43" i="3" s="1"/>
  <c r="V43" i="3"/>
  <c r="AG43" i="3" s="1"/>
  <c r="W43" i="3"/>
  <c r="AH43" i="3" s="1"/>
  <c r="X43" i="3"/>
  <c r="AI43" i="3" s="1"/>
  <c r="N11" i="3"/>
  <c r="Y11" i="3" s="1"/>
  <c r="N16" i="3"/>
  <c r="Y16" i="3" s="1"/>
  <c r="N14" i="3"/>
  <c r="O14" i="3"/>
  <c r="P14" i="3"/>
  <c r="Q14" i="3"/>
  <c r="R14" i="3"/>
  <c r="S14" i="3"/>
  <c r="T14" i="3"/>
  <c r="U14" i="3"/>
  <c r="V14" i="3"/>
  <c r="N15" i="3"/>
  <c r="O15" i="3"/>
  <c r="P15" i="3"/>
  <c r="Q15" i="3"/>
  <c r="R15" i="3"/>
  <c r="S15" i="3"/>
  <c r="T15" i="3"/>
  <c r="U15" i="3"/>
  <c r="V15" i="3"/>
  <c r="X35" i="3"/>
  <c r="AI35" i="3" s="1"/>
  <c r="X36" i="3"/>
  <c r="AI36" i="3" s="1"/>
  <c r="X37" i="3"/>
  <c r="AI37" i="3" s="1"/>
  <c r="X38" i="3"/>
  <c r="AI38" i="3" s="1"/>
  <c r="W35" i="3"/>
  <c r="AH35" i="3" s="1"/>
  <c r="W36" i="3"/>
  <c r="AH36" i="3" s="1"/>
  <c r="W37" i="3"/>
  <c r="AH37" i="3" s="1"/>
  <c r="W38" i="3"/>
  <c r="AH38" i="3" s="1"/>
  <c r="T35" i="3"/>
  <c r="AE35" i="3" s="1"/>
  <c r="U35" i="3"/>
  <c r="AF35" i="3" s="1"/>
  <c r="V35" i="3"/>
  <c r="AG35" i="3" s="1"/>
  <c r="T36" i="3"/>
  <c r="AE36" i="3" s="1"/>
  <c r="U36" i="3"/>
  <c r="AF36" i="3" s="1"/>
  <c r="V36" i="3"/>
  <c r="AG36" i="3" s="1"/>
  <c r="T37" i="3"/>
  <c r="U37" i="3"/>
  <c r="AF37" i="3" s="1"/>
  <c r="V37" i="3"/>
  <c r="AG37" i="3" s="1"/>
  <c r="T38" i="3"/>
  <c r="U38" i="3"/>
  <c r="AF38" i="3" s="1"/>
  <c r="V38" i="3"/>
  <c r="AG38" i="3" s="1"/>
  <c r="X8" i="3"/>
  <c r="AI8" i="3" s="1"/>
  <c r="X9" i="3"/>
  <c r="AI9" i="3" s="1"/>
  <c r="X10" i="3"/>
  <c r="AI10" i="3" s="1"/>
  <c r="X11" i="3"/>
  <c r="AI11" i="3" s="1"/>
  <c r="X12" i="3"/>
  <c r="AI12" i="3" s="1"/>
  <c r="X13" i="3"/>
  <c r="AI13" i="3" s="1"/>
  <c r="X7" i="3"/>
  <c r="AI7" i="3" s="1"/>
  <c r="W8" i="3"/>
  <c r="AH8" i="3" s="1"/>
  <c r="W9" i="3"/>
  <c r="AH9" i="3" s="1"/>
  <c r="W10" i="3"/>
  <c r="AH10" i="3" s="1"/>
  <c r="W11" i="3"/>
  <c r="AH11" i="3" s="1"/>
  <c r="W12" i="3"/>
  <c r="AH12" i="3" s="1"/>
  <c r="W13" i="3"/>
  <c r="AH13" i="3" s="1"/>
  <c r="W7" i="3"/>
  <c r="AH7" i="3" s="1"/>
  <c r="V7" i="3"/>
  <c r="AG7" i="3" s="1"/>
  <c r="V8" i="3"/>
  <c r="AG8" i="3" s="1"/>
  <c r="V9" i="3"/>
  <c r="AG9" i="3" s="1"/>
  <c r="V10" i="3"/>
  <c r="AG10" i="3" s="1"/>
  <c r="V11" i="3"/>
  <c r="AG11" i="3" s="1"/>
  <c r="V12" i="3"/>
  <c r="AG12" i="3" s="1"/>
  <c r="V13" i="3"/>
  <c r="AG13" i="3" s="1"/>
  <c r="V16" i="3"/>
  <c r="AG16" i="3" s="1"/>
  <c r="U7" i="3"/>
  <c r="AF7" i="3" s="1"/>
  <c r="U8" i="3"/>
  <c r="AF8" i="3" s="1"/>
  <c r="U9" i="3"/>
  <c r="AF9" i="3" s="1"/>
  <c r="U10" i="3"/>
  <c r="AF10" i="3" s="1"/>
  <c r="U11" i="3"/>
  <c r="AF11" i="3" s="1"/>
  <c r="U12" i="3"/>
  <c r="AF12" i="3" s="1"/>
  <c r="U13" i="3"/>
  <c r="AF13" i="3" s="1"/>
  <c r="U16" i="3"/>
  <c r="AF16" i="3" s="1"/>
  <c r="T7" i="3"/>
  <c r="AE7" i="3" s="1"/>
  <c r="T8" i="3"/>
  <c r="AE8" i="3" s="1"/>
  <c r="T9" i="3"/>
  <c r="T10" i="3"/>
  <c r="T11" i="3"/>
  <c r="T12" i="3"/>
  <c r="T13" i="3"/>
  <c r="AE13" i="3" s="1"/>
  <c r="T16" i="3"/>
  <c r="AE16" i="3" s="1"/>
  <c r="S7" i="3"/>
  <c r="AD7" i="3" s="1"/>
  <c r="S8" i="3"/>
  <c r="AD8" i="3" s="1"/>
  <c r="S9" i="3"/>
  <c r="S10" i="3"/>
  <c r="S11" i="3"/>
  <c r="AD11" i="3" s="1"/>
  <c r="S12" i="3"/>
  <c r="AD12" i="3" s="1"/>
  <c r="S13" i="3"/>
  <c r="S16" i="3"/>
  <c r="AD16" i="3" s="1"/>
  <c r="R8" i="3"/>
  <c r="AC8" i="3" s="1"/>
  <c r="R9" i="3"/>
  <c r="AC9" i="3" s="1"/>
  <c r="R10" i="3"/>
  <c r="R11" i="3"/>
  <c r="AC11" i="3" s="1"/>
  <c r="R12" i="3"/>
  <c r="AC12" i="3" s="1"/>
  <c r="R13" i="3"/>
  <c r="AC13" i="3" s="1"/>
  <c r="R16" i="3"/>
  <c r="AC16" i="3" s="1"/>
  <c r="R7" i="3"/>
  <c r="Q7" i="3"/>
  <c r="P7" i="3"/>
  <c r="O7" i="3"/>
  <c r="Z7" i="3" s="1"/>
  <c r="F17" i="1"/>
  <c r="G17" i="1" s="1"/>
  <c r="Y35" i="3"/>
  <c r="O35" i="3"/>
  <c r="Z35" i="3" s="1"/>
  <c r="P35" i="3"/>
  <c r="AA35" i="3" s="1"/>
  <c r="Q35" i="3"/>
  <c r="AB35" i="3" s="1"/>
  <c r="R35" i="3"/>
  <c r="AC35" i="3" s="1"/>
  <c r="S35" i="3"/>
  <c r="AD35" i="3" s="1"/>
  <c r="N36" i="3"/>
  <c r="Y36" i="3" s="1"/>
  <c r="O36" i="3"/>
  <c r="Z36" i="3" s="1"/>
  <c r="P36" i="3"/>
  <c r="AA36" i="3" s="1"/>
  <c r="Q36" i="3"/>
  <c r="AB36" i="3" s="1"/>
  <c r="R36" i="3"/>
  <c r="AC36" i="3" s="1"/>
  <c r="S36" i="3"/>
  <c r="AD36" i="3" s="1"/>
  <c r="N37" i="3"/>
  <c r="Y37" i="3" s="1"/>
  <c r="O37" i="3"/>
  <c r="Z37" i="3" s="1"/>
  <c r="P37" i="3"/>
  <c r="AA37" i="3" s="1"/>
  <c r="Q37" i="3"/>
  <c r="AB37" i="3" s="1"/>
  <c r="R37" i="3"/>
  <c r="AC37" i="3" s="1"/>
  <c r="S37" i="3"/>
  <c r="AD37" i="3" s="1"/>
  <c r="AE37" i="3"/>
  <c r="N38" i="3"/>
  <c r="Y38" i="3" s="1"/>
  <c r="O38" i="3"/>
  <c r="Z38" i="3" s="1"/>
  <c r="P38" i="3"/>
  <c r="AA38" i="3" s="1"/>
  <c r="Q38" i="3"/>
  <c r="AB38" i="3" s="1"/>
  <c r="R38" i="3"/>
  <c r="AC38" i="3" s="1"/>
  <c r="S38" i="3"/>
  <c r="AD38" i="3" s="1"/>
  <c r="AE38" i="3"/>
  <c r="O8" i="3"/>
  <c r="Z8" i="3"/>
  <c r="O9" i="3"/>
  <c r="Z9" i="3"/>
  <c r="O10" i="3"/>
  <c r="Z10" i="3" s="1"/>
  <c r="Q11" i="3"/>
  <c r="AB11" i="3" s="1"/>
  <c r="Q12" i="3"/>
  <c r="AB12" i="3" s="1"/>
  <c r="Q13" i="3"/>
  <c r="AB13" i="3" s="1"/>
  <c r="N8" i="3"/>
  <c r="P8" i="3"/>
  <c r="AA8" i="3" s="1"/>
  <c r="Q8" i="3"/>
  <c r="AB8" i="3" s="1"/>
  <c r="N9" i="3"/>
  <c r="P9" i="3"/>
  <c r="AA9" i="3" s="1"/>
  <c r="Q9" i="3"/>
  <c r="AB9" i="3" s="1"/>
  <c r="AD9" i="3"/>
  <c r="AE9" i="3"/>
  <c r="N10" i="3"/>
  <c r="P10" i="3"/>
  <c r="AA10" i="3" s="1"/>
  <c r="Q10" i="3"/>
  <c r="AB10" i="3" s="1"/>
  <c r="AC10" i="3"/>
  <c r="AD10" i="3"/>
  <c r="AE10" i="3"/>
  <c r="O11" i="3"/>
  <c r="Z11" i="3" s="1"/>
  <c r="P11" i="3"/>
  <c r="AA11" i="3" s="1"/>
  <c r="AE11" i="3"/>
  <c r="N12" i="3"/>
  <c r="O12" i="3"/>
  <c r="Z12" i="3" s="1"/>
  <c r="P12" i="3"/>
  <c r="AA12" i="3" s="1"/>
  <c r="AE12" i="3"/>
  <c r="N13" i="3"/>
  <c r="Y13" i="3" s="1"/>
  <c r="O13" i="3"/>
  <c r="Z13" i="3" s="1"/>
  <c r="P13" i="3"/>
  <c r="AA13" i="3" s="1"/>
  <c r="AD13" i="3"/>
  <c r="AA7" i="3"/>
  <c r="AB7" i="3"/>
  <c r="AC7" i="3"/>
  <c r="O16" i="3"/>
  <c r="Z16" i="3" s="1"/>
  <c r="P16" i="3"/>
  <c r="AA16" i="3" s="1"/>
  <c r="Q16" i="3"/>
  <c r="AB16" i="3" s="1"/>
  <c r="F14" i="1"/>
  <c r="G14" i="1" s="1"/>
  <c r="F16" i="1"/>
  <c r="G16" i="1" s="1"/>
  <c r="F19" i="1"/>
  <c r="G19" i="1" s="1"/>
  <c r="F20" i="1"/>
  <c r="G20" i="1" s="1"/>
  <c r="F22" i="1"/>
  <c r="G22" i="1" s="1"/>
  <c r="F23" i="1"/>
  <c r="G23" i="1" s="1"/>
  <c r="F25" i="1"/>
  <c r="G25" i="1" s="1"/>
  <c r="F26" i="1"/>
  <c r="G26" i="1" s="1"/>
  <c r="F28" i="1"/>
  <c r="G28" i="1" s="1"/>
  <c r="F29" i="1"/>
  <c r="F13" i="1"/>
  <c r="G13" i="1" s="1"/>
  <c r="Y8" i="3" l="1"/>
  <c r="AF15" i="3"/>
  <c r="AD15" i="3"/>
  <c r="AB15" i="3"/>
  <c r="Z15" i="3"/>
  <c r="AG14" i="3"/>
  <c r="AE14" i="3"/>
  <c r="AC14" i="3"/>
  <c r="AA14" i="3"/>
  <c r="Y14" i="3"/>
  <c r="AH15" i="3"/>
  <c r="AI14" i="3"/>
  <c r="Y12" i="3"/>
  <c r="Y10" i="3"/>
  <c r="Y9" i="3"/>
  <c r="Y7" i="3"/>
  <c r="AG15" i="3"/>
  <c r="AE15" i="3"/>
  <c r="AC15" i="3"/>
  <c r="AA15" i="3"/>
  <c r="Y15" i="3"/>
  <c r="AF14" i="3"/>
  <c r="AD14" i="3"/>
  <c r="AB14" i="3"/>
  <c r="Z14" i="3"/>
  <c r="G29" i="1"/>
  <c r="M19" i="1" s="1"/>
  <c r="M13" i="1"/>
  <c r="C49" i="3" s="1"/>
  <c r="M15" i="1"/>
  <c r="M18" i="1"/>
  <c r="C54" i="3" s="1"/>
  <c r="M14" i="1"/>
  <c r="M17" i="1"/>
  <c r="M16" i="1"/>
  <c r="C25" i="3" s="1"/>
  <c r="M12" i="1"/>
  <c r="C48" i="3" s="1"/>
  <c r="M20" i="1" l="1"/>
  <c r="C55" i="3"/>
  <c r="O20" i="1" s="1"/>
  <c r="K55" i="3"/>
  <c r="J55" i="3"/>
  <c r="M55" i="3"/>
  <c r="L55" i="3"/>
  <c r="F28" i="3"/>
  <c r="J28" i="3"/>
  <c r="C21" i="3"/>
  <c r="E56" i="3"/>
  <c r="G56" i="3"/>
  <c r="I56" i="3"/>
  <c r="K56" i="3"/>
  <c r="M56" i="3"/>
  <c r="D56" i="3"/>
  <c r="F56" i="3"/>
  <c r="H56" i="3"/>
  <c r="J56" i="3"/>
  <c r="L56" i="3"/>
  <c r="C56" i="3"/>
  <c r="M29" i="3"/>
  <c r="E29" i="3"/>
  <c r="I29" i="3"/>
  <c r="C24" i="3"/>
  <c r="L28" i="3"/>
  <c r="D28" i="3"/>
  <c r="H28" i="3"/>
  <c r="C29" i="3"/>
  <c r="G29" i="3"/>
  <c r="K29" i="3"/>
  <c r="C23" i="3"/>
  <c r="C26" i="3"/>
  <c r="M28" i="3"/>
  <c r="L29" i="3"/>
  <c r="C28" i="3"/>
  <c r="N20" i="1" s="1"/>
  <c r="E28" i="3"/>
  <c r="G28" i="3"/>
  <c r="I28" i="3"/>
  <c r="K28" i="3"/>
  <c r="D29" i="3"/>
  <c r="F29" i="3"/>
  <c r="H29" i="3"/>
  <c r="J29" i="3"/>
  <c r="C22" i="3"/>
  <c r="R19" i="1"/>
  <c r="N19" i="1" s="1"/>
  <c r="D55" i="3"/>
  <c r="F55" i="3"/>
  <c r="H55" i="3"/>
  <c r="E55" i="3"/>
  <c r="G55" i="3"/>
  <c r="I55" i="3"/>
  <c r="Q20" i="1" l="1"/>
  <c r="O19" i="1"/>
  <c r="Q19" i="1" s="1"/>
  <c r="N31" i="1" l="1"/>
  <c r="P31" i="1"/>
  <c r="M31" i="1"/>
  <c r="O31" i="1"/>
  <c r="J32" i="1"/>
  <c r="N32" i="1"/>
  <c r="P32" i="1"/>
  <c r="M32" i="1"/>
  <c r="O32" i="1"/>
  <c r="K32" i="1"/>
  <c r="L32" i="1"/>
  <c r="K31" i="1"/>
  <c r="L31" i="1"/>
  <c r="J31" i="1"/>
  <c r="D53" i="3"/>
  <c r="H53" i="3"/>
  <c r="F26" i="3"/>
  <c r="G26" i="3"/>
  <c r="D26" i="3"/>
  <c r="E26" i="3"/>
  <c r="C53" i="3"/>
  <c r="E53" i="3"/>
  <c r="I26" i="3"/>
  <c r="H26" i="3"/>
  <c r="R17" i="1"/>
  <c r="F53" i="3"/>
  <c r="L26" i="3"/>
  <c r="L53" i="3"/>
  <c r="M26" i="3"/>
  <c r="K53" i="3"/>
  <c r="K26" i="3"/>
  <c r="M53" i="3"/>
  <c r="G53" i="3"/>
  <c r="I53" i="3"/>
  <c r="J26" i="3"/>
  <c r="J53" i="3"/>
  <c r="C27" i="3"/>
  <c r="G54" i="3"/>
  <c r="E27" i="3"/>
  <c r="E54" i="3"/>
  <c r="D27" i="3"/>
  <c r="F27" i="3"/>
  <c r="D54" i="3"/>
  <c r="L27" i="3"/>
  <c r="L54" i="3"/>
  <c r="R18" i="1"/>
  <c r="M27" i="3"/>
  <c r="M54" i="3"/>
  <c r="K27" i="3"/>
  <c r="K54" i="3"/>
  <c r="I27" i="3"/>
  <c r="F54" i="3"/>
  <c r="H27" i="3"/>
  <c r="G27" i="3"/>
  <c r="H54" i="3"/>
  <c r="I54" i="3"/>
  <c r="J27" i="3"/>
  <c r="J54" i="3"/>
  <c r="O18" i="1" l="1"/>
  <c r="O17" i="1"/>
  <c r="N17" i="1"/>
  <c r="N18" i="1"/>
  <c r="Q18" i="1" l="1"/>
  <c r="Q17" i="1"/>
  <c r="L30" i="1"/>
  <c r="K30" i="1"/>
  <c r="L25" i="3"/>
  <c r="K25" i="3"/>
  <c r="F52" i="3"/>
  <c r="D52" i="3"/>
  <c r="E25" i="3"/>
  <c r="I52" i="3"/>
  <c r="E52" i="3"/>
  <c r="I25" i="3"/>
  <c r="M52" i="3"/>
  <c r="J52" i="3"/>
  <c r="L52" i="3"/>
  <c r="R16" i="1"/>
  <c r="K52" i="3"/>
  <c r="G52" i="3"/>
  <c r="H52" i="3"/>
  <c r="G25" i="3"/>
  <c r="H25" i="3"/>
  <c r="C52" i="3"/>
  <c r="F25" i="3"/>
  <c r="D25" i="3"/>
  <c r="M25" i="3"/>
  <c r="J25" i="3"/>
  <c r="L29" i="1" l="1"/>
  <c r="N29" i="1"/>
  <c r="P29" i="1"/>
  <c r="M29" i="1"/>
  <c r="O29" i="1"/>
  <c r="J30" i="1"/>
  <c r="N30" i="1"/>
  <c r="P30" i="1"/>
  <c r="M30" i="1"/>
  <c r="O30" i="1"/>
  <c r="J29" i="1"/>
  <c r="O16" i="1"/>
  <c r="K29" i="1"/>
  <c r="N16" i="1"/>
  <c r="Q16" i="1" s="1"/>
  <c r="J28" i="1" l="1"/>
  <c r="N28" i="1"/>
  <c r="P28" i="1"/>
  <c r="M28" i="1"/>
  <c r="O28" i="1"/>
  <c r="K28" i="1"/>
  <c r="L28" i="1"/>
  <c r="G51" i="3"/>
  <c r="E51" i="3"/>
  <c r="H51" i="3"/>
  <c r="D24" i="3"/>
  <c r="F24" i="3"/>
  <c r="I51" i="3"/>
  <c r="C51" i="3"/>
  <c r="I24" i="3"/>
  <c r="G24" i="3"/>
  <c r="E24" i="3"/>
  <c r="H24" i="3"/>
  <c r="K51" i="3"/>
  <c r="F51" i="3"/>
  <c r="L24" i="3"/>
  <c r="L51" i="3"/>
  <c r="M24" i="3"/>
  <c r="K24" i="3"/>
  <c r="M51" i="3"/>
  <c r="D51" i="3"/>
  <c r="J24" i="3"/>
  <c r="J51" i="3"/>
  <c r="R15" i="1"/>
  <c r="N15" i="1" l="1"/>
  <c r="O15" i="1"/>
  <c r="Q15" i="1" l="1"/>
  <c r="D50" i="3"/>
  <c r="D23" i="3"/>
  <c r="G23" i="3"/>
  <c r="H23" i="3"/>
  <c r="G50" i="3"/>
  <c r="I23" i="3"/>
  <c r="F50" i="3"/>
  <c r="C50" i="3"/>
  <c r="E50" i="3"/>
  <c r="L23" i="3"/>
  <c r="L50" i="3"/>
  <c r="M23" i="3"/>
  <c r="M50" i="3"/>
  <c r="K23" i="3"/>
  <c r="K50" i="3"/>
  <c r="R14" i="1"/>
  <c r="F23" i="3"/>
  <c r="E23" i="3"/>
  <c r="H50" i="3"/>
  <c r="I50" i="3"/>
  <c r="J23" i="3"/>
  <c r="J50" i="3"/>
  <c r="J27" i="1" l="1"/>
  <c r="N27" i="1"/>
  <c r="P27" i="1"/>
  <c r="M27" i="1"/>
  <c r="O27" i="1"/>
  <c r="L27" i="1"/>
  <c r="K27" i="1"/>
  <c r="N14" i="1"/>
  <c r="O14" i="1"/>
  <c r="Q14" i="1" l="1"/>
  <c r="D49" i="3"/>
  <c r="D22" i="3"/>
  <c r="F22" i="3"/>
  <c r="E49" i="3"/>
  <c r="G49" i="3"/>
  <c r="I22" i="3"/>
  <c r="E22" i="3"/>
  <c r="G22" i="3"/>
  <c r="H22" i="3"/>
  <c r="H49" i="3"/>
  <c r="F49" i="3"/>
  <c r="L22" i="3"/>
  <c r="L49" i="3"/>
  <c r="R13" i="1"/>
  <c r="N13" i="1" s="1"/>
  <c r="M22" i="3"/>
  <c r="M49" i="3"/>
  <c r="K22" i="3"/>
  <c r="K49" i="3"/>
  <c r="J22" i="3"/>
  <c r="J49" i="3"/>
  <c r="I49" i="3"/>
  <c r="J26" i="1" l="1"/>
  <c r="N26" i="1"/>
  <c r="P26" i="1"/>
  <c r="M26" i="1"/>
  <c r="O26" i="1"/>
  <c r="L26" i="1"/>
  <c r="K26" i="1"/>
  <c r="O13" i="1"/>
  <c r="Q13" i="1" s="1"/>
  <c r="J25" i="1" l="1"/>
  <c r="N25" i="1"/>
  <c r="P25" i="1"/>
  <c r="M25" i="1"/>
  <c r="O25" i="1"/>
  <c r="K25" i="1"/>
  <c r="L25" i="1"/>
  <c r="J21" i="3"/>
  <c r="E48" i="3"/>
  <c r="M48" i="3"/>
  <c r="L21" i="3"/>
  <c r="K21" i="3"/>
  <c r="I48" i="3"/>
  <c r="J48" i="3"/>
  <c r="G48" i="3"/>
  <c r="G21" i="3"/>
  <c r="F48" i="3"/>
  <c r="I21" i="3"/>
  <c r="H21" i="3"/>
  <c r="R12" i="1"/>
  <c r="L48" i="3"/>
  <c r="K48" i="3"/>
  <c r="M21" i="3"/>
  <c r="D48" i="3"/>
  <c r="D21" i="3"/>
  <c r="F21" i="3"/>
  <c r="H48" i="3"/>
  <c r="E21" i="3"/>
  <c r="O12" i="1" l="1"/>
  <c r="N12" i="1"/>
  <c r="Q12" i="1" l="1"/>
  <c r="N24" i="1" l="1"/>
  <c r="P24" i="1"/>
  <c r="M24" i="1"/>
  <c r="O24" i="1"/>
  <c r="L24" i="1"/>
  <c r="K24" i="1"/>
  <c r="J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z114170</author>
  </authors>
  <commentList>
    <comment ref="E3" authorId="0" shapeId="0" xr:uid="{00000000-0006-0000-0000-000001000000}">
      <text>
        <r>
          <rPr>
            <b/>
            <sz val="10"/>
            <color indexed="81"/>
            <rFont val="Tahoma"/>
            <family val="2"/>
          </rPr>
          <t xml:space="preserve">Berekenen gemiddelde glandulaire dosis: </t>
        </r>
        <r>
          <rPr>
            <sz val="10"/>
            <color indexed="81"/>
            <rFont val="Tahoma"/>
            <family val="2"/>
          </rPr>
          <t xml:space="preserve">
D = K • g • C • S • T
K = intree air kerma </t>
        </r>
        <r>
          <rPr>
            <b/>
            <sz val="10"/>
            <color indexed="81"/>
            <rFont val="Tahoma"/>
            <family val="2"/>
          </rPr>
          <t>t.h.v. het perspex</t>
        </r>
        <r>
          <rPr>
            <sz val="10"/>
            <color indexed="81"/>
            <rFont val="Tahoma"/>
            <family val="2"/>
          </rPr>
          <t xml:space="preserve">
g = g-factor
C = C-factor (correctie factor voor andere borst composities dan 50/50)
S = correctie factor voor ander spectrum
T = correctie factor voor de invallende hoek (voor tomosynthese)</t>
        </r>
      </text>
    </comment>
    <comment ref="E11" authorId="0" shapeId="0" xr:uid="{00000000-0006-0000-0000-000002000000}">
      <text>
        <r>
          <rPr>
            <sz val="8"/>
            <color indexed="81"/>
            <rFont val="Tahoma"/>
            <family val="2"/>
          </rPr>
          <t xml:space="preserve">Veel gebruikte waarden zijn standaard ingevoerd. 
</t>
        </r>
      </text>
    </comment>
    <comment ref="C34" authorId="0" shapeId="0" xr:uid="{00000000-0006-0000-0000-000003000000}">
      <text>
        <r>
          <rPr>
            <sz val="8"/>
            <color indexed="81"/>
            <rFont val="Tahoma"/>
            <family val="2"/>
          </rPr>
          <t>Voer de gemeten HVL waarden bij verschillende kV in.  Indien 1 HVL waarde bekend is deze 3 maal invoeren. HVL waarden kunnen alleen geinterpoleerd worden!</t>
        </r>
      </text>
    </comment>
    <comment ref="C36" authorId="0" shapeId="0" xr:uid="{00000000-0006-0000-0000-000004000000}">
      <text>
        <r>
          <rPr>
            <sz val="10"/>
            <color indexed="81"/>
            <rFont val="Tahoma"/>
            <family val="2"/>
          </rPr>
          <t>Voor de bereking van de gemiddelde glandulaire dosis wordt uitgegaan van het model van Dance:
* Dance DR.</t>
        </r>
        <r>
          <rPr>
            <b/>
            <sz val="10"/>
            <color indexed="81"/>
            <rFont val="Tahoma"/>
            <family val="2"/>
          </rPr>
          <t xml:space="preserve"> Monte-Carlo Calculation of Conversion Factors for the Estimation of Mean Glandular Breast Dose</t>
        </r>
        <r>
          <rPr>
            <sz val="10"/>
            <color indexed="81"/>
            <rFont val="Tahoma"/>
            <family val="2"/>
          </rPr>
          <t xml:space="preserve">. Physics in Medicine and Biology 1990;35:1211-19.
* Dance DR, Klang AT, Sandborg M, Skinner CL, Smith IAC, Carlsson GA. </t>
        </r>
        <r>
          <rPr>
            <b/>
            <sz val="10"/>
            <color indexed="81"/>
            <rFont val="Tahoma"/>
            <family val="2"/>
          </rPr>
          <t>Influence of anode/filter material and tube potential on contrast, signal-to-noise ratio and average absorbed dose in mammography: a Monte Carlo study</t>
        </r>
        <r>
          <rPr>
            <sz val="10"/>
            <color indexed="81"/>
            <rFont val="Tahoma"/>
            <family val="2"/>
          </rPr>
          <t xml:space="preserve">. British Journal of Radiology 2000;73:1056-67
* Perry et al. </t>
        </r>
        <r>
          <rPr>
            <b/>
            <sz val="10"/>
            <color indexed="81"/>
            <rFont val="Tahoma"/>
            <family val="2"/>
          </rPr>
          <t>European guidelines for quality Assurance in breast cancer screening and diagnosis, fourth edition</t>
        </r>
        <r>
          <rPr>
            <sz val="10"/>
            <color indexed="81"/>
            <rFont val="Tahoma"/>
            <family val="2"/>
          </rPr>
          <t xml:space="preserve">. 2006. European Commission.
* Dance DR, Young KC, van Engen RE. </t>
        </r>
        <r>
          <rPr>
            <b/>
            <sz val="10"/>
            <color indexed="81"/>
            <rFont val="Tahoma"/>
            <family val="2"/>
          </rPr>
          <t>Further factors for the estimation of mean glandular dose using the United Kingdom, European and IAEA breast dosimetry protocols</t>
        </r>
        <r>
          <rPr>
            <sz val="10"/>
            <color indexed="81"/>
            <rFont val="Tahoma"/>
            <family val="2"/>
          </rPr>
          <t xml:space="preserve"> Phys Med Biol. 2009;54:4361-72
* Dance DR, Young KC, van Engen RE. </t>
        </r>
        <r>
          <rPr>
            <b/>
            <sz val="10"/>
            <color indexed="81"/>
            <rFont val="Tahoma"/>
            <family val="2"/>
          </rPr>
          <t xml:space="preserve">Estimation of mean glandular dose for breast tomosynthesis: factors for use with the UK, European and IAEA breast dosimetry protocols </t>
        </r>
        <r>
          <rPr>
            <sz val="10"/>
            <color indexed="81"/>
            <rFont val="Tahoma"/>
            <family val="2"/>
          </rPr>
          <t xml:space="preserve">Phys Med Biol. 2011;56:453-471 </t>
        </r>
      </text>
    </comment>
    <comment ref="M37" authorId="0" shapeId="0" xr:uid="{00000000-0006-0000-0000-000005000000}">
      <text>
        <r>
          <rPr>
            <b/>
            <sz val="12"/>
            <color indexed="81"/>
            <rFont val="Tahoma"/>
            <family val="2"/>
          </rPr>
          <t xml:space="preserve">Belangrijk: HVL waarden worden linear geinterpoleerd en kunnen niet worden geëxtrapoleerd. 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z114170</author>
  </authors>
  <commentList>
    <comment ref="C2" authorId="0" shapeId="0" xr:uid="{00000000-0006-0000-0100-000001000000}">
      <text>
        <r>
          <rPr>
            <sz val="14"/>
            <color indexed="81"/>
            <rFont val="Tahoma"/>
            <family val="2"/>
          </rPr>
          <t>HVL waarden &gt; 0.6 worden geextrapoleerd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z114170</author>
    <author>Ramona Bouwman</author>
  </authors>
  <commentList>
    <comment ref="O5" authorId="0" shapeId="0" xr:uid="{00000000-0006-0000-0200-000001000000}">
      <text>
        <r>
          <rPr>
            <sz val="8"/>
            <color indexed="81"/>
            <rFont val="Tahoma"/>
            <family val="2"/>
          </rPr>
          <t xml:space="preserve"> (Omitting 9-11 cm&gt;50% glandularity)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6" authorId="0" shapeId="0" xr:uid="{00000000-0006-0000-0200-000002000000}">
      <text>
        <r>
          <rPr>
            <b/>
            <sz val="10"/>
            <color indexed="81"/>
            <rFont val="Tahoma"/>
            <family val="2"/>
          </rPr>
          <t>Niet geldig voor borstdiktes &gt;8 cm met meer dan 50% glandulariteit. Gemiddelde S-factor, S-factor is afhankelijk van de dikte
van het zilver filter.</t>
        </r>
      </text>
    </comment>
    <comment ref="C7" authorId="0" shapeId="0" xr:uid="{00000000-0006-0000-0200-000003000000}">
      <text>
        <r>
          <rPr>
            <b/>
            <sz val="10"/>
            <color indexed="81"/>
            <rFont val="Tahoma"/>
            <family val="2"/>
          </rPr>
          <t xml:space="preserve">Gegevens S-factor in de European Guidelines. S-factor voor 0.5 mm Al is erg afhankelijk van de dikte van het filter i.v.m. de energie bandbreedte van de fotonen. 
</t>
        </r>
      </text>
    </comment>
    <comment ref="I14" authorId="1" shapeId="0" xr:uid="{00000000-0006-0000-0200-000004000000}">
      <text>
        <r>
          <rPr>
            <b/>
            <sz val="8"/>
            <color indexed="81"/>
            <rFont val="Tahoma"/>
            <family val="2"/>
          </rPr>
          <t>Ramona Bouwman:</t>
        </r>
        <r>
          <rPr>
            <sz val="8"/>
            <color indexed="81"/>
            <rFont val="Tahoma"/>
            <family val="2"/>
          </rPr>
          <t xml:space="preserve">
zelf bepaald</t>
        </r>
      </text>
    </comment>
  </commentList>
</comments>
</file>

<file path=xl/sharedStrings.xml><?xml version="1.0" encoding="utf-8"?>
<sst xmlns="http://schemas.openxmlformats.org/spreadsheetml/2006/main" count="120" uniqueCount="67">
  <si>
    <t>s-factor</t>
  </si>
  <si>
    <t>Mo/Mo</t>
  </si>
  <si>
    <t>Mo/Rh</t>
  </si>
  <si>
    <t>Rh/Rh</t>
  </si>
  <si>
    <t>W/Rh</t>
  </si>
  <si>
    <t>W/Ag</t>
  </si>
  <si>
    <t>W/Al</t>
  </si>
  <si>
    <t>c-factor</t>
  </si>
  <si>
    <t>Dikte PMMA</t>
  </si>
  <si>
    <t>Borstdikte</t>
  </si>
  <si>
    <t>HVL (mm Al)</t>
  </si>
  <si>
    <t>(cm)</t>
  </si>
  <si>
    <t>g-factor</t>
  </si>
  <si>
    <t>Silver thickness</t>
  </si>
  <si>
    <t>50um</t>
  </si>
  <si>
    <t>55um</t>
  </si>
  <si>
    <t>60um</t>
  </si>
  <si>
    <t>65um</t>
  </si>
  <si>
    <t>75 um</t>
  </si>
  <si>
    <t>Overall</t>
  </si>
  <si>
    <t>S-factor</t>
  </si>
  <si>
    <t>Max fr error</t>
  </si>
  <si>
    <t>Equivalent Breast mm</t>
  </si>
  <si>
    <t>W/Al (500 mm Al)</t>
  </si>
  <si>
    <t xml:space="preserve">Bron: </t>
  </si>
  <si>
    <t>David Dance and Ken Young</t>
  </si>
  <si>
    <t>NCCPM, Guildford</t>
  </si>
  <si>
    <t>HVL</t>
  </si>
  <si>
    <t>kV</t>
  </si>
  <si>
    <t>Anode/filter</t>
  </si>
  <si>
    <t>HVL [mm]</t>
  </si>
  <si>
    <t>Buisspanning</t>
  </si>
  <si>
    <t>Intree dosis</t>
  </si>
  <si>
    <t>MGD</t>
  </si>
  <si>
    <t>[cm]</t>
  </si>
  <si>
    <t>[kV]</t>
  </si>
  <si>
    <t>[mGy]</t>
  </si>
  <si>
    <r>
      <t>Filter dikte (</t>
    </r>
    <r>
      <rPr>
        <sz val="10"/>
        <rFont val="Symbol"/>
        <family val="1"/>
        <charset val="2"/>
      </rPr>
      <t>m</t>
    </r>
    <r>
      <rPr>
        <sz val="10"/>
        <rFont val="Arial"/>
        <family val="2"/>
      </rPr>
      <t>m)</t>
    </r>
  </si>
  <si>
    <t>Glandulariteit</t>
  </si>
  <si>
    <t>(%)</t>
  </si>
  <si>
    <t>Gemiddelde glandulariteit (leeftijd 50-64 jaar)</t>
  </si>
  <si>
    <t>RC</t>
  </si>
  <si>
    <t>OFFSET</t>
  </si>
  <si>
    <t>richtingscoëfficient</t>
  </si>
  <si>
    <t>offset</t>
  </si>
  <si>
    <t>bepaalde g-factor</t>
  </si>
  <si>
    <t>bepaalde c-factor</t>
  </si>
  <si>
    <t>PMMA cm</t>
  </si>
  <si>
    <t>info@lrcb.nl</t>
  </si>
  <si>
    <t xml:space="preserve">  </t>
  </si>
  <si>
    <t>W/Al (700 mm Al)</t>
  </si>
  <si>
    <t>Equivalent breast thickness (mm)</t>
  </si>
  <si>
    <t>S factor</t>
  </si>
  <si>
    <t>Dit is de data zoals David in het artikel heeft staan</t>
  </si>
  <si>
    <t>Deze data gehaald uit de gegeven zoals David deze heeft aangeleverd voor het highrex protocol</t>
  </si>
  <si>
    <t>(mm)</t>
  </si>
  <si>
    <t>Dosis Tomosynthese</t>
  </si>
  <si>
    <t>Hologic</t>
  </si>
  <si>
    <t>Siemens</t>
  </si>
  <si>
    <t>T-factor</t>
  </si>
  <si>
    <t>Borst dikte</t>
  </si>
  <si>
    <t>Philips</t>
  </si>
  <si>
    <t>GE</t>
  </si>
  <si>
    <t>Fuji (1)</t>
  </si>
  <si>
    <t>Fuji (2)</t>
  </si>
  <si>
    <t>IMS</t>
  </si>
  <si>
    <t>Versie 1.7_borst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</si>
</sst>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[$-413]d\ mmmm\ yyyy;@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sz val="10"/>
      <name val="Symbol"/>
      <family val="1"/>
      <charset val="2"/>
    </font>
    <font>
      <sz val="8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4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color indexed="22"/>
      <name val="Arial"/>
      <family val="2"/>
    </font>
    <font>
      <u/>
      <sz val="10"/>
      <color indexed="12"/>
      <name val="Arial"/>
      <family val="2"/>
    </font>
    <font>
      <b/>
      <sz val="12"/>
      <color indexed="81"/>
      <name val="Tahoma"/>
      <family val="2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0"/>
      <color theme="0" tint="-0.249977111117893"/>
      <name val="Arial"/>
      <family val="2"/>
    </font>
    <font>
      <sz val="11"/>
      <color theme="0" tint="-0.249977111117893"/>
      <name val="Calibri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0" fillId="2" borderId="0" xfId="0" applyFill="1" applyProtection="1">
      <protection locked="0"/>
    </xf>
    <xf numFmtId="0" fontId="0" fillId="2" borderId="0" xfId="0" applyFill="1"/>
    <xf numFmtId="164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7" fillId="2" borderId="0" xfId="0" applyFont="1" applyFill="1"/>
    <xf numFmtId="164" fontId="7" fillId="2" borderId="0" xfId="0" applyNumberFormat="1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164" fontId="7" fillId="2" borderId="0" xfId="0" applyNumberFormat="1" applyFont="1" applyFill="1"/>
    <xf numFmtId="14" fontId="6" fillId="2" borderId="0" xfId="0" applyNumberFormat="1" applyFont="1" applyFill="1" applyAlignment="1">
      <alignment horizontal="left"/>
    </xf>
    <xf numFmtId="0" fontId="0" fillId="2" borderId="8" xfId="0" applyFill="1" applyBorder="1" applyAlignment="1">
      <alignment horizontal="center"/>
    </xf>
    <xf numFmtId="165" fontId="0" fillId="2" borderId="9" xfId="0" applyNumberFormat="1" applyFill="1" applyBorder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164" fontId="0" fillId="3" borderId="10" xfId="0" applyNumberFormat="1" applyFill="1" applyBorder="1" applyAlignment="1" applyProtection="1">
      <alignment horizontal="center"/>
      <protection locked="0"/>
    </xf>
    <xf numFmtId="0" fontId="11" fillId="2" borderId="0" xfId="0" applyFont="1" applyFill="1" applyProtection="1"/>
    <xf numFmtId="0" fontId="0" fillId="2" borderId="0" xfId="0" applyFill="1" applyProtection="1"/>
    <xf numFmtId="0" fontId="1" fillId="2" borderId="0" xfId="0" applyFont="1" applyFill="1" applyProtection="1"/>
    <xf numFmtId="0" fontId="0" fillId="2" borderId="11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horizontal="center"/>
    </xf>
    <xf numFmtId="164" fontId="0" fillId="2" borderId="0" xfId="0" applyNumberFormat="1" applyFill="1" applyBorder="1" applyAlignment="1" applyProtection="1">
      <alignment horizontal="center"/>
    </xf>
    <xf numFmtId="164" fontId="0" fillId="2" borderId="8" xfId="0" applyNumberFormat="1" applyFill="1" applyBorder="1" applyAlignment="1" applyProtection="1">
      <alignment horizontal="center"/>
    </xf>
    <xf numFmtId="164" fontId="0" fillId="2" borderId="12" xfId="0" applyNumberFormat="1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164" fontId="0" fillId="2" borderId="9" xfId="0" applyNumberFormat="1" applyFill="1" applyBorder="1" applyAlignment="1" applyProtection="1">
      <alignment horizontal="center"/>
    </xf>
    <xf numFmtId="164" fontId="0" fillId="2" borderId="5" xfId="0" applyNumberFormat="1" applyFill="1" applyBorder="1" applyAlignment="1" applyProtection="1">
      <alignment horizontal="center"/>
    </xf>
    <xf numFmtId="0" fontId="0" fillId="2" borderId="0" xfId="0" applyFill="1" applyBorder="1" applyProtection="1"/>
    <xf numFmtId="0" fontId="0" fillId="3" borderId="6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10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2" fillId="2" borderId="0" xfId="0" applyFont="1" applyFill="1" applyProtection="1"/>
    <xf numFmtId="164" fontId="0" fillId="2" borderId="0" xfId="0" applyNumberFormat="1" applyFill="1" applyProtection="1"/>
    <xf numFmtId="0" fontId="0" fillId="2" borderId="7" xfId="0" applyFill="1" applyBorder="1" applyAlignment="1" applyProtection="1">
      <alignment horizontal="center"/>
    </xf>
    <xf numFmtId="164" fontId="0" fillId="2" borderId="11" xfId="0" applyNumberFormat="1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  <xf numFmtId="0" fontId="0" fillId="2" borderId="13" xfId="0" applyFill="1" applyBorder="1" applyProtection="1"/>
    <xf numFmtId="0" fontId="0" fillId="2" borderId="14" xfId="0" applyFill="1" applyBorder="1" applyProtection="1"/>
    <xf numFmtId="0" fontId="0" fillId="2" borderId="5" xfId="0" applyFill="1" applyBorder="1" applyAlignment="1" applyProtection="1">
      <alignment horizontal="center"/>
    </xf>
    <xf numFmtId="0" fontId="11" fillId="2" borderId="0" xfId="0" applyFont="1" applyFill="1" applyBorder="1" applyAlignment="1" applyProtection="1">
      <alignment horizontal="center"/>
    </xf>
    <xf numFmtId="164" fontId="0" fillId="2" borderId="10" xfId="0" applyNumberFormat="1" applyFill="1" applyBorder="1" applyAlignment="1" applyProtection="1">
      <alignment horizontal="center"/>
    </xf>
    <xf numFmtId="166" fontId="0" fillId="2" borderId="10" xfId="0" applyNumberFormat="1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164" fontId="0" fillId="2" borderId="7" xfId="0" applyNumberFormat="1" applyFill="1" applyBorder="1" applyAlignment="1" applyProtection="1">
      <alignment horizontal="center"/>
    </xf>
    <xf numFmtId="164" fontId="11" fillId="2" borderId="0" xfId="0" applyNumberFormat="1" applyFont="1" applyFill="1" applyBorder="1" applyAlignment="1" applyProtection="1">
      <alignment horizontal="center"/>
    </xf>
    <xf numFmtId="0" fontId="12" fillId="2" borderId="0" xfId="1" applyFill="1" applyAlignment="1" applyProtection="1"/>
    <xf numFmtId="0" fontId="0" fillId="3" borderId="6" xfId="0" applyFill="1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15" fillId="4" borderId="0" xfId="0" applyFont="1" applyFill="1"/>
    <xf numFmtId="0" fontId="16" fillId="4" borderId="0" xfId="0" applyFont="1" applyFill="1"/>
    <xf numFmtId="164" fontId="16" fillId="4" borderId="0" xfId="0" applyNumberFormat="1" applyFont="1" applyFill="1"/>
    <xf numFmtId="0" fontId="15" fillId="2" borderId="0" xfId="0" applyFont="1" applyFill="1"/>
    <xf numFmtId="0" fontId="16" fillId="2" borderId="0" xfId="0" applyFont="1" applyFill="1"/>
    <xf numFmtId="164" fontId="16" fillId="2" borderId="0" xfId="0" applyNumberFormat="1" applyFont="1" applyFill="1"/>
    <xf numFmtId="0" fontId="15" fillId="2" borderId="0" xfId="0" applyFont="1" applyFill="1" applyProtection="1"/>
    <xf numFmtId="164" fontId="15" fillId="2" borderId="0" xfId="0" applyNumberFormat="1" applyFont="1" applyFill="1" applyBorder="1" applyAlignment="1" applyProtection="1">
      <alignment horizontal="center"/>
    </xf>
    <xf numFmtId="0" fontId="15" fillId="2" borderId="0" xfId="0" applyFont="1" applyFill="1" applyBorder="1" applyProtection="1"/>
    <xf numFmtId="0" fontId="14" fillId="4" borderId="8" xfId="0" applyFont="1" applyFill="1" applyBorder="1" applyAlignment="1" applyProtection="1">
      <alignment horizontal="center"/>
    </xf>
    <xf numFmtId="0" fontId="14" fillId="4" borderId="12" xfId="0" applyFont="1" applyFill="1" applyBorder="1" applyAlignment="1" applyProtection="1">
      <alignment horizontal="center"/>
    </xf>
    <xf numFmtId="0" fontId="14" fillId="4" borderId="2" xfId="0" applyFont="1" applyFill="1" applyBorder="1" applyAlignment="1" applyProtection="1">
      <alignment horizontal="center"/>
    </xf>
    <xf numFmtId="0" fontId="14" fillId="4" borderId="4" xfId="0" applyFont="1" applyFill="1" applyBorder="1" applyAlignment="1" applyProtection="1">
      <alignment horizontal="center"/>
    </xf>
    <xf numFmtId="164" fontId="14" fillId="4" borderId="0" xfId="0" applyNumberFormat="1" applyFont="1" applyFill="1" applyBorder="1" applyAlignment="1" applyProtection="1">
      <alignment horizontal="center"/>
    </xf>
    <xf numFmtId="164" fontId="14" fillId="4" borderId="12" xfId="0" applyNumberFormat="1" applyFont="1" applyFill="1" applyBorder="1" applyAlignment="1" applyProtection="1">
      <alignment horizontal="center"/>
    </xf>
    <xf numFmtId="0" fontId="14" fillId="4" borderId="0" xfId="0" applyFont="1" applyFill="1" applyBorder="1" applyAlignment="1">
      <alignment horizontal="center" wrapText="1"/>
    </xf>
    <xf numFmtId="0" fontId="14" fillId="4" borderId="12" xfId="0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center" wrapText="1"/>
    </xf>
    <xf numFmtId="0" fontId="14" fillId="4" borderId="2" xfId="0" applyFont="1" applyFill="1" applyBorder="1" applyAlignment="1">
      <alignment horizontal="center" wrapText="1"/>
    </xf>
    <xf numFmtId="0" fontId="0" fillId="2" borderId="15" xfId="0" applyFill="1" applyBorder="1" applyAlignment="1" applyProtection="1">
      <alignment horizontal="center"/>
    </xf>
    <xf numFmtId="0" fontId="14" fillId="4" borderId="10" xfId="0" applyFont="1" applyFill="1" applyBorder="1" applyAlignment="1" applyProtection="1">
      <alignment horizontal="center"/>
    </xf>
    <xf numFmtId="0" fontId="15" fillId="2" borderId="0" xfId="0" applyFont="1" applyFill="1" applyAlignment="1" applyProtection="1">
      <alignment horizontal="center"/>
    </xf>
    <xf numFmtId="0" fontId="14" fillId="4" borderId="0" xfId="0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center" vertical="top" wrapText="1"/>
    </xf>
    <xf numFmtId="0" fontId="14" fillId="4" borderId="1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4" borderId="13" xfId="0" applyFont="1" applyFill="1" applyBorder="1" applyAlignment="1" applyProtection="1">
      <alignment horizontal="center"/>
    </xf>
    <xf numFmtId="0" fontId="14" fillId="4" borderId="14" xfId="0" applyFont="1" applyFill="1" applyBorder="1" applyAlignment="1" applyProtection="1">
      <alignment horizontal="center"/>
    </xf>
    <xf numFmtId="0" fontId="14" fillId="4" borderId="9" xfId="0" applyFont="1" applyFill="1" applyBorder="1" applyAlignment="1">
      <alignment horizontal="center" vertical="top" wrapText="1"/>
    </xf>
    <xf numFmtId="0" fontId="14" fillId="4" borderId="5" xfId="0" applyFont="1" applyFill="1" applyBorder="1" applyAlignment="1">
      <alignment horizontal="center" vertical="top" wrapText="1"/>
    </xf>
    <xf numFmtId="0" fontId="14" fillId="2" borderId="12" xfId="0" applyFont="1" applyFill="1" applyBorder="1" applyAlignment="1" applyProtection="1">
      <alignment horizontal="center"/>
    </xf>
    <xf numFmtId="0" fontId="14" fillId="2" borderId="5" xfId="0" applyFont="1" applyFill="1" applyBorder="1" applyAlignment="1" applyProtection="1">
      <alignment horizontal="center"/>
    </xf>
    <xf numFmtId="0" fontId="14" fillId="4" borderId="5" xfId="0" applyFont="1" applyFill="1" applyBorder="1" applyAlignment="1" applyProtection="1">
      <alignment horizontal="center"/>
    </xf>
    <xf numFmtId="0" fontId="14" fillId="2" borderId="2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  <protection locked="0"/>
    </xf>
    <xf numFmtId="0" fontId="0" fillId="4" borderId="0" xfId="0" applyFill="1" applyProtection="1"/>
    <xf numFmtId="0" fontId="17" fillId="2" borderId="0" xfId="0" applyFont="1" applyFill="1" applyProtection="1"/>
    <xf numFmtId="0" fontId="17" fillId="4" borderId="0" xfId="0" applyFont="1" applyFill="1" applyProtection="1"/>
    <xf numFmtId="0" fontId="18" fillId="4" borderId="0" xfId="0" applyFont="1" applyFill="1"/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  <protection locked="0"/>
    </xf>
    <xf numFmtId="164" fontId="11" fillId="4" borderId="0" xfId="0" applyNumberFormat="1" applyFont="1" applyFill="1" applyBorder="1" applyAlignment="1" applyProtection="1">
      <alignment horizontal="center"/>
    </xf>
    <xf numFmtId="165" fontId="0" fillId="4" borderId="0" xfId="0" applyNumberFormat="1" applyFill="1" applyBorder="1" applyAlignment="1" applyProtection="1">
      <alignment horizontal="center"/>
    </xf>
    <xf numFmtId="164" fontId="0" fillId="4" borderId="0" xfId="0" applyNumberFormat="1" applyFill="1" applyProtection="1"/>
    <xf numFmtId="0" fontId="1" fillId="2" borderId="5" xfId="0" applyFont="1" applyFill="1" applyBorder="1" applyAlignment="1" applyProtection="1">
      <alignment horizontal="center"/>
    </xf>
    <xf numFmtId="164" fontId="1" fillId="2" borderId="4" xfId="0" applyNumberFormat="1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/>
    </xf>
    <xf numFmtId="0" fontId="1" fillId="4" borderId="3" xfId="0" applyFont="1" applyFill="1" applyBorder="1" applyAlignment="1" applyProtection="1">
      <alignment horizontal="center"/>
    </xf>
    <xf numFmtId="167" fontId="0" fillId="2" borderId="0" xfId="0" applyNumberFormat="1" applyFill="1" applyAlignment="1" applyProtection="1">
      <alignment horizontal="left"/>
    </xf>
    <xf numFmtId="0" fontId="0" fillId="2" borderId="3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164" fontId="0" fillId="2" borderId="11" xfId="0" applyNumberFormat="1" applyFill="1" applyBorder="1" applyAlignment="1" applyProtection="1">
      <alignment horizontal="center"/>
    </xf>
    <xf numFmtId="0" fontId="0" fillId="0" borderId="10" xfId="0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2" borderId="4" xfId="0" applyFill="1" applyBorder="1" applyAlignment="1" applyProtection="1">
      <alignment horizontal="center"/>
      <protection locked="0"/>
    </xf>
    <xf numFmtId="164" fontId="0" fillId="2" borderId="2" xfId="0" applyNumberFormat="1" applyFill="1" applyBorder="1" applyAlignment="1">
      <alignment horizontal="center"/>
    </xf>
    <xf numFmtId="0" fontId="0" fillId="2" borderId="1" xfId="0" applyFill="1" applyBorder="1" applyAlignment="1" applyProtection="1">
      <alignment horizontal="center"/>
      <protection locked="0"/>
    </xf>
    <xf numFmtId="0" fontId="14" fillId="2" borderId="6" xfId="0" applyFont="1" applyFill="1" applyBorder="1" applyAlignment="1" applyProtection="1">
      <alignment horizontal="center"/>
    </xf>
    <xf numFmtId="0" fontId="14" fillId="2" borderId="11" xfId="0" applyFont="1" applyFill="1" applyBorder="1" applyAlignment="1" applyProtection="1">
      <alignment horizontal="center"/>
    </xf>
    <xf numFmtId="0" fontId="14" fillId="2" borderId="7" xfId="0" applyFont="1" applyFill="1" applyBorder="1" applyAlignment="1" applyProtection="1">
      <alignment horizontal="center"/>
    </xf>
    <xf numFmtId="0" fontId="14" fillId="4" borderId="7" xfId="0" applyFont="1" applyFill="1" applyBorder="1" applyAlignment="1" applyProtection="1">
      <alignment horizontal="center"/>
    </xf>
    <xf numFmtId="164" fontId="0" fillId="2" borderId="11" xfId="0" applyNumberFormat="1" applyFill="1" applyBorder="1" applyAlignment="1" applyProtection="1">
      <alignment horizontal="center"/>
    </xf>
    <xf numFmtId="1" fontId="0" fillId="2" borderId="15" xfId="0" applyNumberFormat="1" applyFill="1" applyBorder="1" applyAlignment="1" applyProtection="1">
      <alignment horizontal="center"/>
    </xf>
    <xf numFmtId="0" fontId="2" fillId="2" borderId="1" xfId="0" applyFont="1" applyFill="1" applyBorder="1" applyProtection="1"/>
    <xf numFmtId="0" fontId="1" fillId="2" borderId="0" xfId="0" applyFont="1" applyFill="1" applyBorder="1" applyProtection="1"/>
    <xf numFmtId="0" fontId="1" fillId="2" borderId="1" xfId="0" applyFont="1" applyFill="1" applyBorder="1" applyProtection="1"/>
    <xf numFmtId="164" fontId="0" fillId="2" borderId="3" xfId="0" applyNumberFormat="1" applyFill="1" applyBorder="1" applyAlignment="1" applyProtection="1">
      <alignment horizontal="center"/>
    </xf>
    <xf numFmtId="0" fontId="0" fillId="2" borderId="11" xfId="0" applyFill="1" applyBorder="1" applyProtection="1"/>
    <xf numFmtId="0" fontId="0" fillId="2" borderId="6" xfId="0" applyFill="1" applyBorder="1" applyProtection="1"/>
    <xf numFmtId="0" fontId="0" fillId="2" borderId="1" xfId="0" applyFill="1" applyBorder="1" applyProtection="1"/>
    <xf numFmtId="0" fontId="0" fillId="4" borderId="1" xfId="0" applyFill="1" applyBorder="1" applyProtection="1"/>
    <xf numFmtId="0" fontId="0" fillId="4" borderId="12" xfId="0" applyFill="1" applyBorder="1" applyProtection="1"/>
    <xf numFmtId="0" fontId="0" fillId="4" borderId="2" xfId="0" applyFill="1" applyBorder="1" applyProtection="1"/>
    <xf numFmtId="0" fontId="0" fillId="2" borderId="3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11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164" fontId="1" fillId="2" borderId="3" xfId="0" applyNumberFormat="1" applyFont="1" applyFill="1" applyBorder="1" applyAlignment="1" applyProtection="1">
      <alignment horizontal="center"/>
    </xf>
    <xf numFmtId="164" fontId="1" fillId="2" borderId="11" xfId="0" applyNumberFormat="1" applyFont="1" applyFill="1" applyBorder="1" applyAlignment="1" applyProtection="1">
      <alignment horizontal="center"/>
    </xf>
    <xf numFmtId="164" fontId="1" fillId="2" borderId="6" xfId="0" applyNumberFormat="1" applyFont="1" applyFill="1" applyBorder="1" applyAlignment="1" applyProtection="1">
      <alignment horizontal="center"/>
    </xf>
    <xf numFmtId="0" fontId="15" fillId="2" borderId="0" xfId="0" applyFont="1" applyFill="1" applyBorder="1" applyAlignment="1" applyProtection="1">
      <alignment horizontal="center"/>
    </xf>
    <xf numFmtId="0" fontId="15" fillId="2" borderId="0" xfId="0" applyFont="1" applyFill="1" applyAlignment="1" applyProtection="1">
      <alignment horizontal="center"/>
    </xf>
    <xf numFmtId="0" fontId="15" fillId="2" borderId="4" xfId="0" applyFont="1" applyFill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2" fillId="2" borderId="13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13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0" fontId="2" fillId="4" borderId="3" xfId="0" applyFont="1" applyFill="1" applyBorder="1" applyAlignment="1" applyProtection="1">
      <alignment horizontal="center"/>
    </xf>
    <xf numFmtId="0" fontId="2" fillId="4" borderId="11" xfId="0" applyFont="1" applyFill="1" applyBorder="1" applyAlignment="1" applyProtection="1">
      <alignment horizontal="center"/>
    </xf>
    <xf numFmtId="0" fontId="2" fillId="4" borderId="6" xfId="0" applyFont="1" applyFill="1" applyBorder="1" applyAlignment="1" applyProtection="1">
      <alignment horizontal="center"/>
    </xf>
    <xf numFmtId="0" fontId="14" fillId="4" borderId="11" xfId="0" applyFont="1" applyFill="1" applyBorder="1" applyAlignment="1" applyProtection="1">
      <alignment horizontal="center"/>
    </xf>
    <xf numFmtId="0" fontId="14" fillId="4" borderId="6" xfId="0" applyFont="1" applyFill="1" applyBorder="1" applyAlignment="1" applyProtection="1">
      <alignment horizontal="center"/>
    </xf>
    <xf numFmtId="0" fontId="0" fillId="2" borderId="1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38100</xdr:rowOff>
    </xdr:from>
    <xdr:to>
      <xdr:col>12</xdr:col>
      <xdr:colOff>929640</xdr:colOff>
      <xdr:row>8</xdr:row>
      <xdr:rowOff>117958</xdr:rowOff>
    </xdr:to>
    <xdr:pic>
      <xdr:nvPicPr>
        <xdr:cNvPr id="3" name="Afbeelding 2" descr="LRCB - logo 2013 DEF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010150" y="38100"/>
          <a:ext cx="3901440" cy="13752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@lrcb.n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W51"/>
  <sheetViews>
    <sheetView tabSelected="1" workbookViewId="0">
      <selection activeCell="D13" sqref="D13"/>
    </sheetView>
  </sheetViews>
  <sheetFormatPr defaultRowHeight="12.75" x14ac:dyDescent="0.2"/>
  <cols>
    <col min="1" max="1" width="3.42578125" style="23" customWidth="1"/>
    <col min="2" max="2" width="16.42578125" style="23" bestFit="1" customWidth="1"/>
    <col min="3" max="3" width="9.42578125" style="23" customWidth="1"/>
    <col min="4" max="4" width="9.42578125" style="23" bestFit="1" customWidth="1"/>
    <col min="5" max="5" width="14.140625" style="23" bestFit="1" customWidth="1"/>
    <col min="6" max="8" width="4.28515625" style="23" customWidth="1"/>
    <col min="9" max="9" width="11.5703125" style="23" bestFit="1" customWidth="1"/>
    <col min="10" max="10" width="12.140625" style="23" bestFit="1" customWidth="1"/>
    <col min="11" max="11" width="10.28515625" style="23" bestFit="1" customWidth="1"/>
    <col min="12" max="12" width="10.5703125" style="23" bestFit="1" customWidth="1"/>
    <col min="13" max="13" width="15.85546875" style="23" bestFit="1" customWidth="1"/>
    <col min="14" max="14" width="12" style="46" bestFit="1" customWidth="1"/>
    <col min="15" max="16" width="9.140625" style="23"/>
    <col min="17" max="17" width="10.7109375" style="23" bestFit="1" customWidth="1"/>
    <col min="18" max="16384" width="9.140625" style="23"/>
  </cols>
  <sheetData>
    <row r="2" spans="1:18" x14ac:dyDescent="0.2">
      <c r="B2" s="45"/>
    </row>
    <row r="3" spans="1:18" x14ac:dyDescent="0.2"/>
    <row r="10" spans="1:18" x14ac:dyDescent="0.2">
      <c r="B10" s="142" t="s">
        <v>27</v>
      </c>
      <c r="C10" s="143"/>
      <c r="D10" s="143"/>
      <c r="E10" s="144"/>
      <c r="F10" s="34"/>
      <c r="G10" s="34"/>
      <c r="I10" s="114" t="s">
        <v>60</v>
      </c>
      <c r="J10" s="25" t="s">
        <v>31</v>
      </c>
      <c r="K10" s="47" t="s">
        <v>29</v>
      </c>
      <c r="L10" s="25" t="s">
        <v>32</v>
      </c>
      <c r="M10" s="47" t="s">
        <v>27</v>
      </c>
      <c r="N10" s="48" t="s">
        <v>12</v>
      </c>
      <c r="O10" s="47" t="s">
        <v>7</v>
      </c>
      <c r="P10" s="25" t="s">
        <v>20</v>
      </c>
      <c r="Q10" s="47" t="s">
        <v>33</v>
      </c>
      <c r="R10" s="99"/>
    </row>
    <row r="11" spans="1:18" x14ac:dyDescent="0.2">
      <c r="B11" s="49" t="s">
        <v>29</v>
      </c>
      <c r="C11" s="50" t="s">
        <v>28</v>
      </c>
      <c r="D11" s="51" t="s">
        <v>30</v>
      </c>
      <c r="E11" s="52" t="s">
        <v>37</v>
      </c>
      <c r="F11" s="37"/>
      <c r="G11" s="37"/>
      <c r="I11" s="53" t="s">
        <v>34</v>
      </c>
      <c r="J11" s="34" t="s">
        <v>35</v>
      </c>
      <c r="K11" s="57"/>
      <c r="L11" s="34" t="s">
        <v>36</v>
      </c>
      <c r="M11" s="53"/>
      <c r="N11" s="31"/>
      <c r="O11" s="53"/>
      <c r="P11" s="34"/>
      <c r="Q11" s="53" t="s">
        <v>36</v>
      </c>
      <c r="R11" s="100"/>
    </row>
    <row r="12" spans="1:18" ht="15" x14ac:dyDescent="0.25">
      <c r="A12" s="34"/>
      <c r="B12" s="47" t="s">
        <v>1</v>
      </c>
      <c r="C12" s="38"/>
      <c r="D12" s="39"/>
      <c r="E12" s="62">
        <v>30</v>
      </c>
      <c r="F12" s="54" t="s">
        <v>41</v>
      </c>
      <c r="G12" s="54" t="s">
        <v>42</v>
      </c>
      <c r="I12" s="113">
        <v>2</v>
      </c>
      <c r="J12" s="120"/>
      <c r="K12" s="121"/>
      <c r="L12" s="122"/>
      <c r="M12" s="55" t="str">
        <f>IF(K12="Mo/Mo",IF(J12&lt;$C$13,$F$13*J12+$G$13,IF(J12&gt;$C$13,$F$14*J12+$G$14,$D$13)),IF(K12="Mo/Rh",IF(J12&lt;$C$16,J12*$F$16+$G$16,IF(J12&gt;$C$16,J12*$F$17+$G$17,$D$16)),IF(K12="Rh/Rh",IF(J12&lt;$C$19,J12*$F$19+$G$19,IF(J12&gt;$C$19,J12*$F$20+$G$20,$D$19)),IF(K12="W/Rh",IF(J12&lt;$C$22,J12*$F$22+$G$22,IF(J12&gt;$C$22,J12*$F$23+$G$23,$D$22)),IF(K12="W/Al",IF(J12&lt;$C$25,J12*$F$25+$G$25,IF(J13&gt;$C$25,J13*$F$26+$G$26,$D$25)),IF(K12="W/Ag",IF(J12&lt;$C$28,J12*$F$28+$G$28,IF(J12&gt;$C$28,J12*$F$29+$G$29,$D$28)),"onbekend spectra"))))))</f>
        <v>onbekend spectra</v>
      </c>
      <c r="N12" s="55" t="str">
        <f>IF(L12="","",VLOOKUP(I12,'g_en_c-factors'!$B$21:$M$28,R12+2))</f>
        <v/>
      </c>
      <c r="O12" s="55" t="str">
        <f>IF(L12="","",VLOOKUP(MGD!I12,'g_en_c-factors'!$B$48:$M$55,R12+2))</f>
        <v/>
      </c>
      <c r="P12" s="55" t="str">
        <f>IF(K12="","",IF(K12="W/Al",IF($E$24=500,HLOOKUP(I12,'S-factors'!$J$13:$R$14,2),IF($E$24=700,HLOOKUP(I12,'S-factors'!$J$24:$S$25,2),'S-factors'!$C$7)),VLOOKUP(K12,'S-factors'!$B$3:$C$8,2)))</f>
        <v/>
      </c>
      <c r="Q12" s="56" t="str">
        <f>IF(L12="","",L12*N12*O12*P12)</f>
        <v/>
      </c>
      <c r="R12" s="101" t="str">
        <f>IF(L12="","",IF(AND(M12&gt;'g_en_c-factors'!$C$6,M12&lt;='g_en_c-factors'!$D$6),1,IF(AND(M12&gt;'g_en_c-factors'!$D$6,M12&lt;='g_en_c-factors'!$E$6),2,IF(AND(M12&gt;'g_en_c-factors'!$E$6,M12&lt;'g_en_c-factors'!$F$6),3,IF(AND(M12&gt;'g_en_c-factors'!$F$6,M12&lt;'g_en_c-factors'!$G$6),4,IF(AND(M12&gt;'g_en_c-factors'!$G$6,M12&lt;'g_en_c-factors'!$H$6),5,IF(AND(M12&gt;'g_en_c-factors'!$H$6,M12&lt;'g_en_c-factors'!$I$6),6,IF(AND(M12&gt;'g_en_c-factors'!$I$6,M12&lt;'g_en_c-factors'!$J$6),7,IF(AND(M12&gt;'g_en_c-factors'!$J$6,M12&lt;'g_en_c-factors'!$K$6),8,IF(AND(M12&gt;'g_en_c-factors'!$K$6,M12&lt;'g_en_c-factors'!$L$6),9,IF(AND(M12&gt;'g_en_c-factors'!$L$6,M12&lt;'g_en_c-factors'!$M$6),10,IF(M12&gt;'g_en_c-factors'!$M$6,11,"error"))))))))))))</f>
        <v/>
      </c>
    </row>
    <row r="13" spans="1:18" ht="15" x14ac:dyDescent="0.25">
      <c r="A13" s="37"/>
      <c r="B13" s="57" t="s">
        <v>1</v>
      </c>
      <c r="C13" s="40"/>
      <c r="D13" s="41"/>
      <c r="E13" s="58"/>
      <c r="F13" s="59" t="str">
        <f>IF(D13="","",(D13-D12)/(C13-C12))</f>
        <v/>
      </c>
      <c r="G13" s="59" t="str">
        <f>IF(F13="","",D12-(C12*F13))</f>
        <v/>
      </c>
      <c r="I13" s="113">
        <v>3</v>
      </c>
      <c r="J13" s="120"/>
      <c r="K13" s="121"/>
      <c r="L13" s="122"/>
      <c r="M13" s="55" t="str">
        <f t="shared" ref="M13:M18" si="0">IF(K13="Mo/Mo",IF(J13&lt;$C$13,$F$13*J13+$G$13,IF(J13&gt;$C$13,$F$14*J13+$G$14,$D$13)),IF(K13="Mo/Rh",IF(J13&lt;$C$16,J13*$F$16+$G$16,IF(J13&gt;$C$16,J13*$F$17+$G$17,$D$16)),IF(K13="Rh/Rh",IF(J13&lt;$C$19,J13*$F$19+$G$19,IF(J13&gt;$C$19,J13*$F$20+$G$20,$D$19)),IF(K13="W/Rh",IF(J13&lt;$C$22,J13*$F$22+$G$22,IF(J13&gt;$C$22,J13*$F$23+$G$23,$D$22)),IF(K13="W/Al",IF(J13&lt;$C$25,J13*$F$25+$G$25,IF(J13&gt;$C$25,J13*$F$26+$G$26,$D$25)),IF(K13="W/Ag",IF(J13&lt;$C$28,J13*$F$28+$G$28,IF(J13&gt;$C$28,J13*$F$29+$G$29,$D$28)),"onbekend spectra"))))))</f>
        <v>onbekend spectra</v>
      </c>
      <c r="N13" s="55" t="str">
        <f>IF(L13="","",VLOOKUP(I13,'g_en_c-factors'!$B$21:$M$28,R13+2))</f>
        <v/>
      </c>
      <c r="O13" s="55" t="str">
        <f>IF(L13="","",VLOOKUP(MGD!I13,'g_en_c-factors'!$B$48:$M$55,R13+2))</f>
        <v/>
      </c>
      <c r="P13" s="55" t="str">
        <f>IF(K13="","",IF(K13="W/Al",IF($E$24=500,HLOOKUP(I13,'S-factors'!$J$13:$R$14,2),IF($E$24=700,HLOOKUP(I13,'S-factors'!$J$24:$S$25,2),'S-factors'!$C$7)),VLOOKUP(K13,'S-factors'!$B$3:$C$8,2)))</f>
        <v/>
      </c>
      <c r="Q13" s="56" t="str">
        <f t="shared" ref="Q13:Q20" si="1">IF(L13="","",L13*N13*O13*P13)</f>
        <v/>
      </c>
      <c r="R13" s="101" t="str">
        <f>IF(L13="","",IF(AND(M13&gt;'g_en_c-factors'!$C$6,M13&lt;='g_en_c-factors'!$D$6),1,IF(AND(M13&gt;'g_en_c-factors'!$D$6,M13&lt;='g_en_c-factors'!$E$6),2,IF(AND(M13&gt;'g_en_c-factors'!$E$6,M13&lt;'g_en_c-factors'!$F$6),3,IF(AND(M13&gt;'g_en_c-factors'!$F$6,M13&lt;'g_en_c-factors'!$G$6),4,IF(AND(M13&gt;'g_en_c-factors'!$G$6,M13&lt;'g_en_c-factors'!$H$6),5,IF(AND(M13&gt;'g_en_c-factors'!$H$6,M13&lt;'g_en_c-factors'!$I$6),6,IF(AND(M13&gt;'g_en_c-factors'!$I$6,M13&lt;'g_en_c-factors'!$J$6),7,IF(AND(M13&gt;'g_en_c-factors'!$J$6,M13&lt;'g_en_c-factors'!$K$6),8,IF(AND(M13&gt;'g_en_c-factors'!$K$6,M13&lt;'g_en_c-factors'!$L$6),9,IF(AND(M13&gt;'g_en_c-factors'!$L$6,M13&lt;'g_en_c-factors'!$M$6),10,IF(M13&gt;'g_en_c-factors'!$M$6,11,"error"))))))))))))</f>
        <v/>
      </c>
    </row>
    <row r="14" spans="1:18" ht="15" x14ac:dyDescent="0.25">
      <c r="A14" s="37"/>
      <c r="B14" s="57" t="s">
        <v>1</v>
      </c>
      <c r="C14" s="40"/>
      <c r="D14" s="41"/>
      <c r="E14" s="36"/>
      <c r="F14" s="59" t="str">
        <f>IF(D14="","",(D14-D13)/(C14-C13))</f>
        <v/>
      </c>
      <c r="G14" s="59" t="str">
        <f>IF(F14="","",D13-(C13*F14))</f>
        <v/>
      </c>
      <c r="I14" s="113">
        <v>4</v>
      </c>
      <c r="J14" s="120"/>
      <c r="K14" s="121"/>
      <c r="L14" s="122"/>
      <c r="M14" s="55" t="str">
        <f t="shared" si="0"/>
        <v>onbekend spectra</v>
      </c>
      <c r="N14" s="55" t="str">
        <f>IF(L14="","",VLOOKUP(I14,'g_en_c-factors'!$B$21:$M$28,R14+2))</f>
        <v/>
      </c>
      <c r="O14" s="55" t="str">
        <f>IF(L14="","",VLOOKUP(MGD!I14,'g_en_c-factors'!$B$48:$M$55,R14+2))</f>
        <v/>
      </c>
      <c r="P14" s="55" t="str">
        <f>IF(K14="","",IF(K14="W/Al",IF($E$24=500,HLOOKUP(I14,'S-factors'!$J$13:$R$14,2),IF($E$24=700,HLOOKUP(I14,'S-factors'!$J$24:$S$25,2),'S-factors'!$C$7)),VLOOKUP(K14,'S-factors'!$B$3:$C$8,2)))</f>
        <v/>
      </c>
      <c r="Q14" s="56" t="str">
        <f t="shared" si="1"/>
        <v/>
      </c>
      <c r="R14" s="101" t="str">
        <f>IF(L14="","",IF(AND(M14&gt;'g_en_c-factors'!$C$6,M14&lt;='g_en_c-factors'!$D$6),1,IF(AND(M14&gt;'g_en_c-factors'!$D$6,M14&lt;='g_en_c-factors'!$E$6),2,IF(AND(M14&gt;'g_en_c-factors'!$E$6,M14&lt;'g_en_c-factors'!$F$6),3,IF(AND(M14&gt;'g_en_c-factors'!$F$6,M14&lt;'g_en_c-factors'!$G$6),4,IF(AND(M14&gt;'g_en_c-factors'!$G$6,M14&lt;'g_en_c-factors'!$H$6),5,IF(AND(M14&gt;'g_en_c-factors'!$H$6,M14&lt;'g_en_c-factors'!$I$6),6,IF(AND(M14&gt;'g_en_c-factors'!$I$6,M14&lt;'g_en_c-factors'!$J$6),7,IF(AND(M14&gt;'g_en_c-factors'!$J$6,M14&lt;'g_en_c-factors'!$K$6),8,IF(AND(M14&gt;'g_en_c-factors'!$K$6,M14&lt;'g_en_c-factors'!$L$6),9,IF(AND(M14&gt;'g_en_c-factors'!$L$6,M14&lt;'g_en_c-factors'!$M$6),10,IF(M14&gt;'g_en_c-factors'!$M$6,11,"error"))))))))))))</f>
        <v/>
      </c>
    </row>
    <row r="15" spans="1:18" ht="15" x14ac:dyDescent="0.25">
      <c r="A15" s="34"/>
      <c r="B15" s="47" t="s">
        <v>2</v>
      </c>
      <c r="C15" s="38"/>
      <c r="D15" s="39"/>
      <c r="E15" s="61">
        <v>25</v>
      </c>
      <c r="F15" s="54"/>
      <c r="G15" s="54"/>
      <c r="I15" s="113">
        <v>5</v>
      </c>
      <c r="J15" s="120"/>
      <c r="K15" s="121"/>
      <c r="L15" s="122"/>
      <c r="M15" s="55" t="str">
        <f t="shared" si="0"/>
        <v>onbekend spectra</v>
      </c>
      <c r="N15" s="55" t="str">
        <f>IF(L15="","",VLOOKUP(I15,'g_en_c-factors'!$B$21:$M$28,R15+2))</f>
        <v/>
      </c>
      <c r="O15" s="55" t="str">
        <f>IF(L15="","",VLOOKUP(MGD!I15,'g_en_c-factors'!$B$48:$M$55,R15+2))</f>
        <v/>
      </c>
      <c r="P15" s="55" t="str">
        <f>IF(K15="","",IF(K15="W/Al",IF($E$24=500,HLOOKUP(I15,'S-factors'!$J$13:$R$14,2),IF($E$24=700,HLOOKUP(I15,'S-factors'!$J$24:$S$25,2),'S-factors'!$C$7)),VLOOKUP(K15,'S-factors'!$B$3:$C$8,2)))</f>
        <v/>
      </c>
      <c r="Q15" s="56" t="str">
        <f t="shared" si="1"/>
        <v/>
      </c>
      <c r="R15" s="101" t="str">
        <f>IF(L15="","",IF(AND(M15&gt;'g_en_c-factors'!$C$6,M15&lt;='g_en_c-factors'!$D$6),1,IF(AND(M15&gt;'g_en_c-factors'!$D$6,M15&lt;='g_en_c-factors'!$E$6),2,IF(AND(M15&gt;'g_en_c-factors'!$E$6,M15&lt;'g_en_c-factors'!$F$6),3,IF(AND(M15&gt;'g_en_c-factors'!$F$6,M15&lt;'g_en_c-factors'!$G$6),4,IF(AND(M15&gt;'g_en_c-factors'!$G$6,M15&lt;'g_en_c-factors'!$H$6),5,IF(AND(M15&gt;'g_en_c-factors'!$H$6,M15&lt;'g_en_c-factors'!$I$6),6,IF(AND(M15&gt;'g_en_c-factors'!$I$6,M15&lt;'g_en_c-factors'!$J$6),7,IF(AND(M15&gt;'g_en_c-factors'!$J$6,M15&lt;'g_en_c-factors'!$K$6),8,IF(AND(M15&gt;'g_en_c-factors'!$K$6,M15&lt;'g_en_c-factors'!$L$6),9,IF(AND(M15&gt;'g_en_c-factors'!$L$6,M15&lt;'g_en_c-factors'!$M$6),10,IF(M15&gt;'g_en_c-factors'!$M$6,11,"error"))))))))))))</f>
        <v/>
      </c>
    </row>
    <row r="16" spans="1:18" ht="15" x14ac:dyDescent="0.25">
      <c r="A16" s="37"/>
      <c r="B16" s="57" t="s">
        <v>2</v>
      </c>
      <c r="C16" s="40"/>
      <c r="D16" s="41"/>
      <c r="E16" s="47"/>
      <c r="F16" s="59" t="str">
        <f t="shared" ref="F16:F29" si="2">IF(D16="","",(D16-D15)/(C16-C15))</f>
        <v/>
      </c>
      <c r="G16" s="59" t="str">
        <f t="shared" ref="G16:G29" si="3">IF(F16="","",D15-(C15*F16))</f>
        <v/>
      </c>
      <c r="I16" s="113">
        <v>6</v>
      </c>
      <c r="J16" s="120"/>
      <c r="K16" s="121"/>
      <c r="L16" s="122"/>
      <c r="M16" s="55" t="str">
        <f t="shared" si="0"/>
        <v>onbekend spectra</v>
      </c>
      <c r="N16" s="55" t="str">
        <f>IF(L16="","",VLOOKUP(I16,'g_en_c-factors'!$B$21:$M$28,R16+2))</f>
        <v/>
      </c>
      <c r="O16" s="55" t="str">
        <f>IF(L16="","",VLOOKUP(MGD!I16,'g_en_c-factors'!$B$48:$M$55,R16+2))</f>
        <v/>
      </c>
      <c r="P16" s="55" t="str">
        <f>IF(K16="","",IF(K16="W/Al",IF($E$24=500,HLOOKUP(I16,'S-factors'!$J$13:$R$14,2),IF($E$24=700,HLOOKUP(I16,'S-factors'!$J$24:$S$25,2),'S-factors'!$C$7)),VLOOKUP(K16,'S-factors'!$B$3:$C$8,2)))</f>
        <v/>
      </c>
      <c r="Q16" s="56" t="str">
        <f t="shared" si="1"/>
        <v/>
      </c>
      <c r="R16" s="101" t="str">
        <f>IF(L16="","",IF(AND(M16&gt;'g_en_c-factors'!$C$6,M16&lt;='g_en_c-factors'!$D$6),1,IF(AND(M16&gt;'g_en_c-factors'!$D$6,M16&lt;='g_en_c-factors'!$E$6),2,IF(AND(M16&gt;'g_en_c-factors'!$E$6,M16&lt;'g_en_c-factors'!$F$6),3,IF(AND(M16&gt;'g_en_c-factors'!$F$6,M16&lt;'g_en_c-factors'!$G$6),4,IF(AND(M16&gt;'g_en_c-factors'!$G$6,M16&lt;'g_en_c-factors'!$H$6),5,IF(AND(M16&gt;'g_en_c-factors'!$H$6,M16&lt;'g_en_c-factors'!$I$6),6,IF(AND(M16&gt;'g_en_c-factors'!$I$6,M16&lt;'g_en_c-factors'!$J$6),7,IF(AND(M16&gt;'g_en_c-factors'!$J$6,M16&lt;'g_en_c-factors'!$K$6),8,IF(AND(M16&gt;'g_en_c-factors'!$K$6,M16&lt;'g_en_c-factors'!$L$6),9,IF(AND(M16&gt;'g_en_c-factors'!$L$6,M16&lt;'g_en_c-factors'!$M$6),10,IF(M16&gt;'g_en_c-factors'!$M$6,11,"error"))))))))))))</f>
        <v/>
      </c>
    </row>
    <row r="17" spans="1:23" ht="15" x14ac:dyDescent="0.25">
      <c r="A17" s="37"/>
      <c r="B17" s="53" t="s">
        <v>2</v>
      </c>
      <c r="C17" s="40"/>
      <c r="D17" s="41"/>
      <c r="E17" s="53"/>
      <c r="F17" s="59" t="str">
        <f t="shared" si="2"/>
        <v/>
      </c>
      <c r="G17" s="59" t="str">
        <f t="shared" si="3"/>
        <v/>
      </c>
      <c r="I17" s="113">
        <v>7</v>
      </c>
      <c r="J17" s="120"/>
      <c r="K17" s="121"/>
      <c r="L17" s="122"/>
      <c r="M17" s="55" t="str">
        <f t="shared" si="0"/>
        <v>onbekend spectra</v>
      </c>
      <c r="N17" s="55" t="str">
        <f>IF(L17="","",VLOOKUP(I17,'g_en_c-factors'!$B$21:$M$28,R17+2))</f>
        <v/>
      </c>
      <c r="O17" s="55" t="str">
        <f>IF(L17="","",VLOOKUP(MGD!I17,'g_en_c-factors'!$B$48:$M$55,R17+2))</f>
        <v/>
      </c>
      <c r="P17" s="55" t="str">
        <f>IF(K17="","",IF(K17="W/Al",IF($E$24=500,HLOOKUP(I17,'S-factors'!$J$13:$R$14,2),IF($E$24=700,HLOOKUP(I17,'S-factors'!$J$24:$S$25,2),'S-factors'!$C$7)),VLOOKUP(K17,'S-factors'!$B$3:$C$8,2)))</f>
        <v/>
      </c>
      <c r="Q17" s="56" t="str">
        <f t="shared" si="1"/>
        <v/>
      </c>
      <c r="R17" s="101" t="str">
        <f>IF(L17="","",IF(AND(M17&gt;'g_en_c-factors'!$C$6,M17&lt;='g_en_c-factors'!$D$6),1,IF(AND(M17&gt;'g_en_c-factors'!$D$6,M17&lt;='g_en_c-factors'!$E$6),2,IF(AND(M17&gt;'g_en_c-factors'!$E$6,M17&lt;'g_en_c-factors'!$F$6),3,IF(AND(M17&gt;'g_en_c-factors'!$F$6,M17&lt;'g_en_c-factors'!$G$6),4,IF(AND(M17&gt;'g_en_c-factors'!$G$6,M17&lt;'g_en_c-factors'!$H$6),5,IF(AND(M17&gt;'g_en_c-factors'!$H$6,M17&lt;'g_en_c-factors'!$I$6),6,IF(AND(M17&gt;'g_en_c-factors'!$I$6,M17&lt;'g_en_c-factors'!$J$6),7,IF(AND(M17&gt;'g_en_c-factors'!$J$6,M17&lt;'g_en_c-factors'!$K$6),8,IF(AND(M17&gt;'g_en_c-factors'!$K$6,M17&lt;'g_en_c-factors'!$L$6),9,IF(AND(M17&gt;'g_en_c-factors'!$L$6,M17&lt;'g_en_c-factors'!$M$6),10,IF(M17&gt;'g_en_c-factors'!$M$6,11,"error"))))))))))))</f>
        <v/>
      </c>
    </row>
    <row r="18" spans="1:23" ht="15" x14ac:dyDescent="0.25">
      <c r="A18" s="34"/>
      <c r="B18" s="57" t="s">
        <v>3</v>
      </c>
      <c r="C18" s="38"/>
      <c r="D18" s="39"/>
      <c r="E18" s="62">
        <v>25</v>
      </c>
      <c r="F18" s="59"/>
      <c r="G18" s="59"/>
      <c r="I18" s="113">
        <v>8</v>
      </c>
      <c r="J18" s="120"/>
      <c r="K18" s="120"/>
      <c r="L18" s="122"/>
      <c r="M18" s="55" t="str">
        <f t="shared" si="0"/>
        <v>onbekend spectra</v>
      </c>
      <c r="N18" s="55" t="str">
        <f>IF(L18="","",VLOOKUP(I18,'g_en_c-factors'!$B$21:$M$28,R18+2))</f>
        <v/>
      </c>
      <c r="O18" s="55" t="str">
        <f>IF(L18="","",VLOOKUP(MGD!I18,'g_en_c-factors'!$B$48:$M$55,R18+2))</f>
        <v/>
      </c>
      <c r="P18" s="55" t="str">
        <f>IF(K18="","",IF(K18="W/Al",IF($E$24=500,HLOOKUP(I18,'S-factors'!$J$13:$R$14,2),IF($E$24=700,HLOOKUP(I18,'S-factors'!$J$24:$S$25,2),'S-factors'!$C$7)),VLOOKUP(K18,'S-factors'!$B$3:$C$8,2)))</f>
        <v/>
      </c>
      <c r="Q18" s="56" t="str">
        <f>IF(L18="","",L18*N18*O18*P18)</f>
        <v/>
      </c>
      <c r="R18" s="101" t="str">
        <f>IF(L18="","",IF(AND(M18&gt;'g_en_c-factors'!$C$6,M18&lt;='g_en_c-factors'!$D$6),1,IF(AND(M18&gt;'g_en_c-factors'!$D$6,M18&lt;='g_en_c-factors'!$E$6),2,IF(AND(M18&gt;'g_en_c-factors'!$E$6,M18&lt;'g_en_c-factors'!$F$6),3,IF(AND(M18&gt;'g_en_c-factors'!$F$6,M18&lt;'g_en_c-factors'!$G$6),4,IF(AND(M18&gt;'g_en_c-factors'!$G$6,M18&lt;'g_en_c-factors'!$H$6),5,IF(AND(M18&gt;'g_en_c-factors'!$H$6,M18&lt;'g_en_c-factors'!$I$6),6,IF(AND(M18&gt;'g_en_c-factors'!$I$6,M18&lt;'g_en_c-factors'!$J$6),7,IF(AND(M18&gt;'g_en_c-factors'!$J$6,M18&lt;'g_en_c-factors'!$K$6),8,IF(AND(M18&gt;'g_en_c-factors'!$K$6,M18&lt;'g_en_c-factors'!$L$6),9,IF(AND(M18&gt;'g_en_c-factors'!$L$6,M18&lt;'g_en_c-factors'!$M$6),10,IF(M18&gt;'g_en_c-factors'!$M$6,11,"error"))))))))))))</f>
        <v/>
      </c>
    </row>
    <row r="19" spans="1:23" ht="15" x14ac:dyDescent="0.25">
      <c r="A19" s="37"/>
      <c r="B19" s="57" t="s">
        <v>3</v>
      </c>
      <c r="C19" s="40"/>
      <c r="D19" s="41"/>
      <c r="E19" s="47"/>
      <c r="F19" s="59" t="str">
        <f t="shared" si="2"/>
        <v/>
      </c>
      <c r="G19" s="59" t="str">
        <f t="shared" si="3"/>
        <v/>
      </c>
      <c r="I19" s="113">
        <v>9</v>
      </c>
      <c r="J19" s="42"/>
      <c r="K19" s="97"/>
      <c r="L19" s="21"/>
      <c r="M19" s="55" t="str">
        <f>IF(K19="Mo/Mo",IF(J19&lt;$C$13,$F$13*J19+$G$13,IF(J19&gt;$C$13,$F$14*J19+$G$14,$D$13)),IF(K19="Mo/Rh",IF(J19&lt;$C$16,J19*$F$16+$G$16,IF(J19&gt;$C$16,J19*$F$17+$G$17,$D$16)),IF(K19="Rh/Rh",IF(J19&lt;$C$19,J19*$F$19+$G$19,IF(J19&gt;$C$19,J19*$F$20+$G$20,$D$19)),IF(K19="W/Rh",IF(J19&lt;$C$22,J19*$F$22+$G$22,IF(J19&gt;$C$22,J19*$F$23+$G$23,$D$22)),IF(K19="W/Al",IF(J19&lt;$C$25,J19*$F$25+$G$25,IF(J19&gt;$C$25,J19*$F$26+$G$26,$D$25)),IF(K19="W/Ag",IF(J19&lt;$C$28,J19*$F$28+$G$28,IF(J19&gt;$C$28,J19*$F$29+$G$29,$D$28)),"onbekend spectra"))))))</f>
        <v>onbekend spectra</v>
      </c>
      <c r="N19" s="55" t="str">
        <f>IF(L19="","",VLOOKUP(I19,'g_en_c-factors'!$B$21:$M$28,R19+2))</f>
        <v/>
      </c>
      <c r="O19" s="55" t="str">
        <f>IF(L19="","",VLOOKUP(MGD!I19,'g_en_c-factors'!$B$48:$M$55,R19+2))</f>
        <v/>
      </c>
      <c r="P19" s="55" t="str">
        <f>IF(K19="","",IF(K19="W/Al",IF($E$24=500,HLOOKUP(I19,'S-factors'!$J$13:$R$14,2),IF($E$24=700,HLOOKUP(I19,'S-factors'!$J$24:$S$25,2),'S-factors'!$C$7)),VLOOKUP(K19,'S-factors'!$B$3:$C$8,2)))</f>
        <v/>
      </c>
      <c r="Q19" s="56" t="str">
        <f t="shared" si="1"/>
        <v/>
      </c>
      <c r="R19" s="101" t="str">
        <f>IF(L19="","",IF(AND(M19&gt;'g_en_c-factors'!$C$6,M19&lt;='g_en_c-factors'!$D$6),1,IF(AND(M19&gt;'g_en_c-factors'!$D$6,M19&lt;='g_en_c-factors'!$E$6),2,IF(AND(M19&gt;'g_en_c-factors'!$E$6,M19&lt;'g_en_c-factors'!$F$6),3,IF(AND(M19&gt;'g_en_c-factors'!$F$6,M19&lt;'g_en_c-factors'!$G$6),4,IF(AND(M19&gt;'g_en_c-factors'!$G$6,M19&lt;'g_en_c-factors'!$H$6),5,IF(AND(M19&gt;'g_en_c-factors'!$H$6,M19&lt;'g_en_c-factors'!$I$6),6,IF(AND(M19&gt;'g_en_c-factors'!$I$6,M19&lt;'g_en_c-factors'!$J$6),7,IF(AND(M19&gt;'g_en_c-factors'!$J$6,M19&lt;'g_en_c-factors'!$K$6),8,IF(AND(M19&gt;'g_en_c-factors'!$K$6,M19&lt;'g_en_c-factors'!$L$6),9,IF(AND(M19&gt;'g_en_c-factors'!$L$6,M19&lt;'g_en_c-factors'!$M$6),10,IF(M19&gt;'g_en_c-factors'!$M$6,11,"error"))))))))))))</f>
        <v/>
      </c>
    </row>
    <row r="20" spans="1:23" x14ac:dyDescent="0.2">
      <c r="A20" s="37"/>
      <c r="B20" s="57" t="s">
        <v>3</v>
      </c>
      <c r="C20" s="40"/>
      <c r="D20" s="41"/>
      <c r="E20" s="53"/>
      <c r="F20" s="59" t="str">
        <f t="shared" si="2"/>
        <v/>
      </c>
      <c r="G20" s="59" t="str">
        <f t="shared" si="3"/>
        <v/>
      </c>
      <c r="I20" s="49">
        <v>10</v>
      </c>
      <c r="J20" s="42"/>
      <c r="K20" s="97"/>
      <c r="L20" s="21"/>
      <c r="M20" s="55" t="str">
        <f>IF(K20="Mo/Mo",IF(J20&lt;$C$13,$F$13*J20+$G$13,IF(J20&gt;$C$13,$F$14*J20+$G$14,$D$13)),IF(K20="Mo/Rh",IF(J20&lt;$C$16,J20*$F$16+$G$16,IF(J20&gt;$C$16,J20*$F$17+$G$17,$D$16)),IF(K20="Rh/Rh",IF(J20&lt;$C$19,J20*$F$19+$G$19,IF(J20&gt;$C$19,J20*$F$20+$G$20,$D$19)),IF(K20="W/Rh",IF(J20&lt;$C$22,J20*$F$22+$G$22,IF(J20&gt;$C$22,J20*$F$23+$G$23,$D$22)),IF(K20="W/Al",IF(J20&lt;$C$25,J20*$F$25+$G$25,IF(J20&gt;$C$25,J20*$F$26+$G$26,$D$25)),IF(K20="W/Ag",IF(J20&lt;$C$28,J20*$F$28+$G$28,IF(J20&gt;$C$28,J20*$F$29+$G$29,$D$28)),"onbekend spectra"))))))</f>
        <v>onbekend spectra</v>
      </c>
      <c r="N20" s="55" t="str">
        <f>IF(L20="","",VLOOKUP(I20,'g_en_c-factors'!$B$21:$M$28,R20+2))</f>
        <v/>
      </c>
      <c r="O20" s="55" t="str">
        <f>IF(L20="","",VLOOKUP(MGD!I20,'g_en_c-factors'!$B$48:$M$55,R20+2))</f>
        <v/>
      </c>
      <c r="P20" s="55" t="str">
        <f>IF(K20="","",IF(K20="W/Al",IF($E$24=500,HLOOKUP(I20,'S-factors'!$J$13:$R$14,2),IF($E$24=700,HLOOKUP(I20,'S-factors'!$J$24:$S$25,2),'S-factors'!$C$7)),VLOOKUP(K20,'S-factors'!$B$3:$C$8,2)))</f>
        <v/>
      </c>
      <c r="Q20" s="56" t="str">
        <f t="shared" si="1"/>
        <v/>
      </c>
      <c r="R20" s="98"/>
    </row>
    <row r="21" spans="1:23" x14ac:dyDescent="0.2">
      <c r="A21" s="34"/>
      <c r="B21" s="47" t="s">
        <v>4</v>
      </c>
      <c r="C21" s="38"/>
      <c r="D21" s="39"/>
      <c r="E21" s="61">
        <v>50</v>
      </c>
      <c r="F21" s="59"/>
      <c r="G21" s="59"/>
    </row>
    <row r="22" spans="1:23" x14ac:dyDescent="0.2">
      <c r="A22" s="37"/>
      <c r="B22" s="57" t="s">
        <v>4</v>
      </c>
      <c r="C22" s="40"/>
      <c r="D22" s="41"/>
      <c r="E22" s="47"/>
      <c r="F22" s="59" t="str">
        <f t="shared" si="2"/>
        <v/>
      </c>
      <c r="G22" s="59" t="str">
        <f t="shared" si="3"/>
        <v/>
      </c>
      <c r="I22" s="47" t="s">
        <v>9</v>
      </c>
      <c r="J22" s="145" t="s">
        <v>56</v>
      </c>
      <c r="K22" s="146"/>
      <c r="L22" s="146"/>
      <c r="M22" s="146"/>
      <c r="N22" s="146"/>
      <c r="O22" s="146"/>
      <c r="P22" s="147"/>
      <c r="Q22" s="148" t="s">
        <v>59</v>
      </c>
      <c r="R22" s="149"/>
      <c r="S22" s="149"/>
      <c r="T22" s="149"/>
      <c r="U22" s="149"/>
      <c r="V22" s="149"/>
      <c r="W22" s="150"/>
    </row>
    <row r="23" spans="1:23" x14ac:dyDescent="0.2">
      <c r="A23" s="37"/>
      <c r="B23" s="53" t="s">
        <v>4</v>
      </c>
      <c r="C23" s="40"/>
      <c r="D23" s="44"/>
      <c r="E23" s="53"/>
      <c r="F23" s="59" t="str">
        <f t="shared" si="2"/>
        <v/>
      </c>
      <c r="G23" s="59" t="str">
        <f t="shared" si="3"/>
        <v/>
      </c>
      <c r="I23" s="108" t="s">
        <v>55</v>
      </c>
      <c r="J23" s="111" t="s">
        <v>57</v>
      </c>
      <c r="K23" s="112" t="s">
        <v>58</v>
      </c>
      <c r="L23" s="112" t="s">
        <v>61</v>
      </c>
      <c r="M23" s="112" t="s">
        <v>62</v>
      </c>
      <c r="N23" s="112" t="s">
        <v>63</v>
      </c>
      <c r="O23" s="112" t="s">
        <v>64</v>
      </c>
      <c r="P23" s="132" t="s">
        <v>65</v>
      </c>
      <c r="Q23" s="109" t="s">
        <v>57</v>
      </c>
      <c r="R23" s="110" t="s">
        <v>58</v>
      </c>
      <c r="S23" s="110" t="s">
        <v>61</v>
      </c>
      <c r="T23" s="133" t="s">
        <v>62</v>
      </c>
      <c r="U23" s="133" t="s">
        <v>63</v>
      </c>
      <c r="V23" s="133" t="s">
        <v>64</v>
      </c>
      <c r="W23" s="134" t="s">
        <v>65</v>
      </c>
    </row>
    <row r="24" spans="1:23" x14ac:dyDescent="0.2">
      <c r="A24" s="34"/>
      <c r="B24" s="57" t="s">
        <v>6</v>
      </c>
      <c r="C24" s="38"/>
      <c r="D24" s="41"/>
      <c r="E24" s="62">
        <v>700</v>
      </c>
      <c r="F24" s="59"/>
      <c r="G24" s="59"/>
      <c r="I24" s="131">
        <v>20</v>
      </c>
      <c r="J24" s="135" t="str">
        <f t="shared" ref="J24:J32" si="4">IF(Q12="","",$Q12*Q24)</f>
        <v/>
      </c>
      <c r="K24" s="130" t="str">
        <f t="shared" ref="K24:K32" si="5">IF(Q12="","",$Q12*R24)</f>
        <v/>
      </c>
      <c r="L24" s="130" t="str">
        <f>IF($Q12="","",$Q12*S24)</f>
        <v/>
      </c>
      <c r="M24" s="130" t="str">
        <f t="shared" ref="M24:P24" si="6">IF($Q12="","",$Q12*T24)</f>
        <v/>
      </c>
      <c r="N24" s="130" t="str">
        <f t="shared" si="6"/>
        <v/>
      </c>
      <c r="O24" s="130" t="str">
        <f t="shared" si="6"/>
        <v/>
      </c>
      <c r="P24" s="130" t="str">
        <f t="shared" si="6"/>
        <v/>
      </c>
      <c r="Q24" s="135">
        <v>0.997</v>
      </c>
      <c r="R24" s="130">
        <v>0.98</v>
      </c>
      <c r="S24" s="130">
        <v>0.98299999999999998</v>
      </c>
      <c r="T24" s="136">
        <v>0.99299999999999999</v>
      </c>
      <c r="U24" s="136">
        <v>0.997</v>
      </c>
      <c r="V24" s="136">
        <v>0.98499999999999999</v>
      </c>
      <c r="W24" s="137">
        <v>0.98499999999999999</v>
      </c>
    </row>
    <row r="25" spans="1:23" x14ac:dyDescent="0.2">
      <c r="A25" s="37"/>
      <c r="B25" s="57" t="s">
        <v>6</v>
      </c>
      <c r="C25" s="40"/>
      <c r="D25" s="41"/>
      <c r="E25" s="47"/>
      <c r="F25" s="59" t="str">
        <f t="shared" si="2"/>
        <v/>
      </c>
      <c r="G25" s="59" t="str">
        <f t="shared" si="3"/>
        <v/>
      </c>
      <c r="I25" s="131">
        <v>30</v>
      </c>
      <c r="J25" s="30" t="str">
        <f t="shared" si="4"/>
        <v/>
      </c>
      <c r="K25" s="31" t="str">
        <f t="shared" si="5"/>
        <v/>
      </c>
      <c r="L25" s="31" t="str">
        <f t="shared" ref="L25:L32" si="7">IF(Q13="","",$Q13*S25)</f>
        <v/>
      </c>
      <c r="M25" s="31" t="str">
        <f t="shared" ref="M25:M32" si="8">IF($Q13="","",$Q13*T25)</f>
        <v/>
      </c>
      <c r="N25" s="31" t="str">
        <f t="shared" ref="N25:N32" si="9">IF($Q13="","",$Q13*U25)</f>
        <v/>
      </c>
      <c r="O25" s="31" t="str">
        <f t="shared" ref="O25:O32" si="10">IF($Q13="","",$Q13*V25)</f>
        <v/>
      </c>
      <c r="P25" s="31" t="str">
        <f t="shared" ref="P25:P32" si="11">IF($Q13="","",$Q13*W25)</f>
        <v/>
      </c>
      <c r="Q25" s="30">
        <v>0.996</v>
      </c>
      <c r="R25" s="31">
        <v>0.97399999999999998</v>
      </c>
      <c r="S25" s="31">
        <v>0.95799999999999996</v>
      </c>
      <c r="T25" s="37">
        <v>0.99099999999999999</v>
      </c>
      <c r="U25" s="37">
        <v>0.996</v>
      </c>
      <c r="V25" s="37">
        <v>0.98099999999999998</v>
      </c>
      <c r="W25" s="138">
        <v>0.98099999999999998</v>
      </c>
    </row>
    <row r="26" spans="1:23" x14ac:dyDescent="0.2">
      <c r="A26" s="37"/>
      <c r="B26" s="57" t="s">
        <v>6</v>
      </c>
      <c r="C26" s="40"/>
      <c r="D26" s="41"/>
      <c r="E26" s="53"/>
      <c r="F26" s="59" t="str">
        <f t="shared" si="2"/>
        <v/>
      </c>
      <c r="G26" s="59" t="str">
        <f t="shared" si="3"/>
        <v/>
      </c>
      <c r="I26" s="131">
        <v>40</v>
      </c>
      <c r="J26" s="30" t="str">
        <f t="shared" si="4"/>
        <v/>
      </c>
      <c r="K26" s="31" t="str">
        <f t="shared" si="5"/>
        <v/>
      </c>
      <c r="L26" s="31" t="str">
        <f t="shared" si="7"/>
        <v/>
      </c>
      <c r="M26" s="31" t="str">
        <f t="shared" si="8"/>
        <v/>
      </c>
      <c r="N26" s="31" t="str">
        <f t="shared" si="9"/>
        <v/>
      </c>
      <c r="O26" s="31" t="str">
        <f t="shared" si="10"/>
        <v/>
      </c>
      <c r="P26" s="31" t="str">
        <f t="shared" si="11"/>
        <v/>
      </c>
      <c r="Q26" s="30">
        <v>0.996</v>
      </c>
      <c r="R26" s="31">
        <v>0.97099999999999997</v>
      </c>
      <c r="S26" s="31">
        <v>0.93500000000000005</v>
      </c>
      <c r="T26" s="37">
        <v>0.99</v>
      </c>
      <c r="U26" s="37">
        <v>0.997</v>
      </c>
      <c r="V26" s="37">
        <v>0.97899999999999998</v>
      </c>
      <c r="W26" s="138">
        <v>0.97799999999999998</v>
      </c>
    </row>
    <row r="27" spans="1:23" x14ac:dyDescent="0.2">
      <c r="A27" s="34"/>
      <c r="B27" s="47" t="s">
        <v>5</v>
      </c>
      <c r="C27" s="38"/>
      <c r="D27" s="39"/>
      <c r="E27" s="61">
        <v>57</v>
      </c>
      <c r="F27" s="59"/>
      <c r="G27" s="59"/>
      <c r="I27" s="131">
        <v>50</v>
      </c>
      <c r="J27" s="30" t="str">
        <f t="shared" si="4"/>
        <v/>
      </c>
      <c r="K27" s="31" t="str">
        <f t="shared" si="5"/>
        <v/>
      </c>
      <c r="L27" s="31" t="str">
        <f t="shared" si="7"/>
        <v/>
      </c>
      <c r="M27" s="31" t="str">
        <f t="shared" si="8"/>
        <v/>
      </c>
      <c r="N27" s="31" t="str">
        <f t="shared" si="9"/>
        <v/>
      </c>
      <c r="O27" s="31" t="str">
        <f t="shared" si="10"/>
        <v/>
      </c>
      <c r="P27" s="31" t="str">
        <f t="shared" si="11"/>
        <v/>
      </c>
      <c r="Q27" s="30">
        <v>0.995</v>
      </c>
      <c r="R27" s="31">
        <v>0.96799999999999997</v>
      </c>
      <c r="S27" s="31">
        <v>0.90700000000000003</v>
      </c>
      <c r="T27" s="37">
        <v>0.98899999999999999</v>
      </c>
      <c r="U27" s="37">
        <v>0.996</v>
      </c>
      <c r="V27" s="37">
        <v>0.97699999999999998</v>
      </c>
      <c r="W27" s="138">
        <v>0.97599999999999998</v>
      </c>
    </row>
    <row r="28" spans="1:23" x14ac:dyDescent="0.2">
      <c r="A28" s="37"/>
      <c r="B28" s="57" t="s">
        <v>5</v>
      </c>
      <c r="C28" s="40"/>
      <c r="D28" s="41"/>
      <c r="E28" s="47"/>
      <c r="F28" s="59" t="str">
        <f t="shared" si="2"/>
        <v/>
      </c>
      <c r="G28" s="59" t="str">
        <f t="shared" si="3"/>
        <v/>
      </c>
      <c r="I28" s="131">
        <v>60</v>
      </c>
      <c r="J28" s="30" t="str">
        <f t="shared" si="4"/>
        <v/>
      </c>
      <c r="K28" s="31" t="str">
        <f t="shared" si="5"/>
        <v/>
      </c>
      <c r="L28" s="31" t="str">
        <f t="shared" si="7"/>
        <v/>
      </c>
      <c r="M28" s="31" t="str">
        <f t="shared" si="8"/>
        <v/>
      </c>
      <c r="N28" s="31" t="str">
        <f t="shared" si="9"/>
        <v/>
      </c>
      <c r="O28" s="31" t="str">
        <f t="shared" si="10"/>
        <v/>
      </c>
      <c r="P28" s="31" t="str">
        <f t="shared" si="11"/>
        <v/>
      </c>
      <c r="Q28" s="30">
        <v>0.99399999999999999</v>
      </c>
      <c r="R28" s="31">
        <v>0.96599999999999997</v>
      </c>
      <c r="S28" s="31">
        <v>0.88300000000000001</v>
      </c>
      <c r="T28" s="37">
        <v>0.98799999999999999</v>
      </c>
      <c r="U28" s="37">
        <v>0.995</v>
      </c>
      <c r="V28" s="37">
        <v>0.97499999999999998</v>
      </c>
      <c r="W28" s="138">
        <v>0.97399999999999998</v>
      </c>
    </row>
    <row r="29" spans="1:23" x14ac:dyDescent="0.2">
      <c r="A29" s="37"/>
      <c r="B29" s="53" t="s">
        <v>5</v>
      </c>
      <c r="C29" s="43"/>
      <c r="D29" s="44"/>
      <c r="E29" s="53"/>
      <c r="F29" s="59" t="str">
        <f t="shared" si="2"/>
        <v/>
      </c>
      <c r="G29" s="59" t="str">
        <f t="shared" si="3"/>
        <v/>
      </c>
      <c r="I29" s="131">
        <v>70</v>
      </c>
      <c r="J29" s="30" t="str">
        <f t="shared" si="4"/>
        <v/>
      </c>
      <c r="K29" s="31" t="str">
        <f t="shared" si="5"/>
        <v/>
      </c>
      <c r="L29" s="31" t="str">
        <f t="shared" si="7"/>
        <v/>
      </c>
      <c r="M29" s="31" t="str">
        <f t="shared" si="8"/>
        <v/>
      </c>
      <c r="N29" s="31" t="str">
        <f t="shared" si="9"/>
        <v/>
      </c>
      <c r="O29" s="31" t="str">
        <f t="shared" si="10"/>
        <v/>
      </c>
      <c r="P29" s="31" t="str">
        <f t="shared" si="11"/>
        <v/>
      </c>
      <c r="Q29" s="30">
        <v>0.99399999999999999</v>
      </c>
      <c r="R29" s="31">
        <v>0.96499999999999997</v>
      </c>
      <c r="S29" s="31">
        <v>0.85899999999999999</v>
      </c>
      <c r="T29" s="37">
        <v>0.98699999999999999</v>
      </c>
      <c r="U29" s="37">
        <v>0.995</v>
      </c>
      <c r="V29" s="37">
        <v>0.97399999999999998</v>
      </c>
      <c r="W29" s="138">
        <v>0.97299999999999998</v>
      </c>
    </row>
    <row r="30" spans="1:23" s="98" customFormat="1" x14ac:dyDescent="0.2">
      <c r="A30" s="102"/>
      <c r="B30" s="103"/>
      <c r="C30" s="104"/>
      <c r="D30" s="104"/>
      <c r="E30" s="103"/>
      <c r="F30" s="105"/>
      <c r="G30" s="105"/>
      <c r="I30" s="131">
        <v>80</v>
      </c>
      <c r="J30" s="30" t="str">
        <f t="shared" si="4"/>
        <v/>
      </c>
      <c r="K30" s="31" t="str">
        <f t="shared" si="5"/>
        <v/>
      </c>
      <c r="L30" s="31" t="str">
        <f t="shared" si="7"/>
        <v/>
      </c>
      <c r="M30" s="31" t="str">
        <f t="shared" si="8"/>
        <v/>
      </c>
      <c r="N30" s="31" t="str">
        <f t="shared" si="9"/>
        <v/>
      </c>
      <c r="O30" s="31" t="str">
        <f t="shared" si="10"/>
        <v/>
      </c>
      <c r="P30" s="31" t="str">
        <f t="shared" si="11"/>
        <v/>
      </c>
      <c r="Q30" s="30">
        <v>0.99299999999999999</v>
      </c>
      <c r="R30" s="31">
        <v>0.96399999999999997</v>
      </c>
      <c r="S30" s="31">
        <v>0.83299999999999996</v>
      </c>
      <c r="T30" s="37">
        <v>0.98599999999999999</v>
      </c>
      <c r="U30" s="37">
        <v>0.99399999999999999</v>
      </c>
      <c r="V30" s="102">
        <v>0.97199999999999998</v>
      </c>
      <c r="W30" s="139">
        <v>0.97199999999999998</v>
      </c>
    </row>
    <row r="31" spans="1:23" s="98" customFormat="1" x14ac:dyDescent="0.2">
      <c r="A31" s="102"/>
      <c r="B31" s="103"/>
      <c r="C31" s="104"/>
      <c r="D31" s="104"/>
      <c r="E31" s="103"/>
      <c r="F31" s="105"/>
      <c r="G31" s="105"/>
      <c r="I31" s="131">
        <v>90</v>
      </c>
      <c r="J31" s="30" t="str">
        <f t="shared" si="4"/>
        <v/>
      </c>
      <c r="K31" s="31" t="str">
        <f t="shared" si="5"/>
        <v/>
      </c>
      <c r="L31" s="31" t="str">
        <f t="shared" si="7"/>
        <v/>
      </c>
      <c r="M31" s="31" t="str">
        <f t="shared" si="8"/>
        <v/>
      </c>
      <c r="N31" s="31" t="str">
        <f t="shared" si="9"/>
        <v/>
      </c>
      <c r="O31" s="31" t="str">
        <f t="shared" si="10"/>
        <v/>
      </c>
      <c r="P31" s="31" t="str">
        <f t="shared" si="11"/>
        <v/>
      </c>
      <c r="Q31" s="30">
        <v>0.99199999999999999</v>
      </c>
      <c r="R31" s="31">
        <v>0.96199999999999997</v>
      </c>
      <c r="S31" s="31">
        <v>0.80600000000000005</v>
      </c>
      <c r="T31" s="102">
        <v>0.98499999999999999</v>
      </c>
      <c r="U31" s="102">
        <v>0.99299999999999999</v>
      </c>
      <c r="V31" s="102">
        <v>0.97099999999999997</v>
      </c>
      <c r="W31" s="139">
        <v>0.97</v>
      </c>
    </row>
    <row r="32" spans="1:23" s="98" customFormat="1" x14ac:dyDescent="0.2">
      <c r="A32" s="102"/>
      <c r="B32" s="103"/>
      <c r="C32" s="104"/>
      <c r="D32" s="104"/>
      <c r="E32" s="103"/>
      <c r="F32" s="105"/>
      <c r="G32" s="105"/>
      <c r="I32" s="131">
        <v>100</v>
      </c>
      <c r="J32" s="32" t="str">
        <f t="shared" si="4"/>
        <v/>
      </c>
      <c r="K32" s="33" t="str">
        <f t="shared" si="5"/>
        <v/>
      </c>
      <c r="L32" s="33" t="str">
        <f t="shared" si="7"/>
        <v/>
      </c>
      <c r="M32" s="33" t="str">
        <f t="shared" si="8"/>
        <v/>
      </c>
      <c r="N32" s="33" t="str">
        <f t="shared" si="9"/>
        <v/>
      </c>
      <c r="O32" s="33" t="str">
        <f t="shared" si="10"/>
        <v/>
      </c>
      <c r="P32" s="33" t="str">
        <f t="shared" si="11"/>
        <v/>
      </c>
      <c r="Q32" s="32">
        <v>0.99299999999999999</v>
      </c>
      <c r="R32" s="33">
        <v>0.96099999999999997</v>
      </c>
      <c r="S32" s="33">
        <v>0.78300000000000003</v>
      </c>
      <c r="T32" s="140">
        <v>0.98399999999999999</v>
      </c>
      <c r="U32" s="140">
        <v>0.99399999999999999</v>
      </c>
      <c r="V32" s="140">
        <v>0.97</v>
      </c>
      <c r="W32" s="141">
        <v>0.97</v>
      </c>
    </row>
    <row r="33" spans="3:19" x14ac:dyDescent="0.2">
      <c r="F33" s="22"/>
      <c r="G33" s="22"/>
      <c r="I33" s="106"/>
      <c r="J33" s="106"/>
      <c r="K33" s="98"/>
      <c r="L33" s="98"/>
      <c r="M33" s="98"/>
      <c r="N33" s="107"/>
      <c r="O33" s="98"/>
      <c r="P33" s="98"/>
      <c r="Q33" s="98"/>
    </row>
    <row r="34" spans="3:19" x14ac:dyDescent="0.2">
      <c r="I34" s="103"/>
      <c r="J34" s="106"/>
      <c r="S34" s="46"/>
    </row>
    <row r="35" spans="3:19" x14ac:dyDescent="0.2">
      <c r="I35" s="103"/>
      <c r="S35" s="46"/>
    </row>
    <row r="36" spans="3:19" x14ac:dyDescent="0.2">
      <c r="S36" s="46"/>
    </row>
    <row r="37" spans="3:19" x14ac:dyDescent="0.2">
      <c r="S37" s="46"/>
    </row>
    <row r="38" spans="3:19" x14ac:dyDescent="0.2">
      <c r="L38" s="23" t="s">
        <v>49</v>
      </c>
      <c r="S38" s="46"/>
    </row>
    <row r="39" spans="3:19" x14ac:dyDescent="0.2">
      <c r="S39" s="46"/>
    </row>
    <row r="40" spans="3:19" x14ac:dyDescent="0.2">
      <c r="S40" s="46"/>
    </row>
    <row r="41" spans="3:19" x14ac:dyDescent="0.2">
      <c r="S41" s="46"/>
    </row>
    <row r="42" spans="3:19" x14ac:dyDescent="0.2">
      <c r="S42" s="46"/>
    </row>
    <row r="43" spans="3:19" x14ac:dyDescent="0.2">
      <c r="S43" s="46"/>
    </row>
    <row r="44" spans="3:19" x14ac:dyDescent="0.2">
      <c r="S44" s="46"/>
    </row>
    <row r="45" spans="3:19" x14ac:dyDescent="0.2">
      <c r="S45" s="46"/>
    </row>
    <row r="49" spans="2:2" x14ac:dyDescent="0.2">
      <c r="B49" s="24" t="s">
        <v>66</v>
      </c>
    </row>
    <row r="50" spans="2:2" x14ac:dyDescent="0.2">
      <c r="B50" s="116">
        <v>41842</v>
      </c>
    </row>
    <row r="51" spans="2:2" x14ac:dyDescent="0.2">
      <c r="B51" s="60" t="s">
        <v>48</v>
      </c>
    </row>
  </sheetData>
  <sheetProtection selectLockedCells="1"/>
  <mergeCells count="3">
    <mergeCell ref="B10:E10"/>
    <mergeCell ref="J22:P22"/>
    <mergeCell ref="Q22:W22"/>
  </mergeCells>
  <phoneticPr fontId="5" type="noConversion"/>
  <hyperlinks>
    <hyperlink ref="B51" r:id="rId1" xr:uid="{00000000-0004-0000-0000-000000000000}"/>
  </hyperlinks>
  <pageMargins left="0.75" right="0.75" top="1" bottom="1" header="0.5" footer="0.5"/>
  <pageSetup paperSize="9" orientation="portrait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R56"/>
  <sheetViews>
    <sheetView zoomScale="85" zoomScaleNormal="85" workbookViewId="0">
      <selection activeCell="M58" sqref="M58"/>
    </sheetView>
  </sheetViews>
  <sheetFormatPr defaultRowHeight="12.75" x14ac:dyDescent="0.2"/>
  <cols>
    <col min="1" max="1" width="7.85546875" style="23" bestFit="1" customWidth="1"/>
    <col min="2" max="2" width="10" style="23" bestFit="1" customWidth="1"/>
    <col min="3" max="9" width="10.7109375" style="23" bestFit="1" customWidth="1"/>
    <col min="10" max="13" width="10.7109375" style="69" bestFit="1" customWidth="1"/>
    <col min="14" max="18" width="6.140625" style="69" bestFit="1" customWidth="1"/>
    <col min="19" max="19" width="5.85546875" style="69" bestFit="1" customWidth="1"/>
    <col min="20" max="24" width="6.140625" style="69" bestFit="1" customWidth="1"/>
    <col min="25" max="28" width="7.140625" style="69" bestFit="1" customWidth="1"/>
    <col min="29" max="32" width="7.85546875" style="69" bestFit="1" customWidth="1"/>
    <col min="33" max="35" width="7.140625" style="69" bestFit="1" customWidth="1"/>
    <col min="36" max="38" width="9.140625" style="69"/>
    <col min="39" max="43" width="9.140625" style="22"/>
    <col min="44" max="44" width="9.140625" style="24"/>
    <col min="45" max="16384" width="9.140625" style="23"/>
  </cols>
  <sheetData>
    <row r="2" spans="2:35" x14ac:dyDescent="0.2"/>
    <row r="4" spans="2:35" x14ac:dyDescent="0.2">
      <c r="B4" s="160" t="s">
        <v>12</v>
      </c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2"/>
      <c r="N4" s="151" t="s">
        <v>43</v>
      </c>
      <c r="O4" s="152"/>
      <c r="P4" s="152"/>
      <c r="Q4" s="152"/>
      <c r="R4" s="152"/>
      <c r="S4" s="152"/>
      <c r="T4" s="152"/>
      <c r="U4" s="84"/>
      <c r="V4" s="84"/>
      <c r="W4" s="84"/>
      <c r="X4" s="84"/>
      <c r="Y4" s="152" t="s">
        <v>44</v>
      </c>
      <c r="Z4" s="152"/>
      <c r="AA4" s="152"/>
      <c r="AB4" s="152"/>
      <c r="AC4" s="152"/>
      <c r="AD4" s="152"/>
      <c r="AE4" s="152"/>
    </row>
    <row r="5" spans="2:35" x14ac:dyDescent="0.2">
      <c r="B5" s="115" t="s">
        <v>60</v>
      </c>
      <c r="C5" s="163" t="s">
        <v>10</v>
      </c>
      <c r="D5" s="163"/>
      <c r="E5" s="163"/>
      <c r="F5" s="163"/>
      <c r="G5" s="163"/>
      <c r="H5" s="163"/>
      <c r="I5" s="163"/>
      <c r="J5" s="163"/>
      <c r="K5" s="163"/>
      <c r="L5" s="163"/>
      <c r="M5" s="164"/>
    </row>
    <row r="6" spans="2:35" x14ac:dyDescent="0.2">
      <c r="B6" s="72" t="s">
        <v>11</v>
      </c>
      <c r="C6" s="73">
        <v>0.3</v>
      </c>
      <c r="D6" s="73">
        <v>0.35</v>
      </c>
      <c r="E6" s="73">
        <v>0.4</v>
      </c>
      <c r="F6" s="73">
        <v>0.45</v>
      </c>
      <c r="G6" s="73">
        <v>0.5</v>
      </c>
      <c r="H6" s="73">
        <v>0.55000000000000004</v>
      </c>
      <c r="I6" s="73">
        <v>0.6</v>
      </c>
      <c r="J6" s="73">
        <v>0.65</v>
      </c>
      <c r="K6" s="73">
        <v>0.7</v>
      </c>
      <c r="L6" s="73">
        <v>0.75</v>
      </c>
      <c r="M6" s="74">
        <v>0.8</v>
      </c>
      <c r="N6" s="69">
        <v>1</v>
      </c>
      <c r="O6" s="69">
        <v>2</v>
      </c>
      <c r="P6" s="69">
        <v>3</v>
      </c>
      <c r="Q6" s="69">
        <v>4</v>
      </c>
      <c r="R6" s="69">
        <v>5</v>
      </c>
      <c r="S6" s="69">
        <v>6</v>
      </c>
      <c r="T6" s="69">
        <v>7</v>
      </c>
      <c r="U6" s="69">
        <v>8</v>
      </c>
      <c r="V6" s="69">
        <v>9</v>
      </c>
      <c r="W6" s="69">
        <v>10</v>
      </c>
      <c r="X6" s="69">
        <v>11</v>
      </c>
      <c r="Y6" s="69">
        <v>1</v>
      </c>
      <c r="Z6" s="69">
        <v>2</v>
      </c>
      <c r="AA6" s="69">
        <v>3</v>
      </c>
      <c r="AB6" s="69">
        <v>4</v>
      </c>
      <c r="AC6" s="69">
        <v>5</v>
      </c>
      <c r="AD6" s="69">
        <v>6</v>
      </c>
      <c r="AE6" s="69">
        <v>7</v>
      </c>
      <c r="AF6" s="69">
        <v>8</v>
      </c>
      <c r="AG6" s="69">
        <v>9</v>
      </c>
      <c r="AH6" s="69">
        <v>10</v>
      </c>
      <c r="AI6" s="69">
        <v>11</v>
      </c>
    </row>
    <row r="7" spans="2:35" x14ac:dyDescent="0.2">
      <c r="B7" s="75">
        <v>2</v>
      </c>
      <c r="C7" s="76">
        <v>0.39</v>
      </c>
      <c r="D7" s="76">
        <v>0.433</v>
      </c>
      <c r="E7" s="76">
        <v>0.47299999999999998</v>
      </c>
      <c r="F7" s="76">
        <v>0.50900000000000001</v>
      </c>
      <c r="G7" s="76">
        <v>0.54300000000000004</v>
      </c>
      <c r="H7" s="76">
        <v>0.57299999999999995</v>
      </c>
      <c r="I7" s="76">
        <v>0.58699999999999997</v>
      </c>
      <c r="J7" s="78">
        <v>0.622</v>
      </c>
      <c r="K7" s="78">
        <v>0.64400000000000002</v>
      </c>
      <c r="L7" s="78">
        <v>0.66300000000000003</v>
      </c>
      <c r="M7" s="80">
        <v>0.68200000000000005</v>
      </c>
      <c r="N7" s="69">
        <f>(D7-C7)/(D$6-C$6)</f>
        <v>0.85999999999999988</v>
      </c>
      <c r="O7" s="69">
        <f t="shared" ref="O7:V7" si="0">(E7-D7)/(E$6-D$6)</f>
        <v>0.79999999999999893</v>
      </c>
      <c r="P7" s="69">
        <f t="shared" si="0"/>
        <v>0.72000000000000075</v>
      </c>
      <c r="Q7" s="69">
        <f t="shared" si="0"/>
        <v>0.68000000000000071</v>
      </c>
      <c r="R7" s="69">
        <f t="shared" si="0"/>
        <v>0.59999999999999776</v>
      </c>
      <c r="S7" s="69">
        <f t="shared" si="0"/>
        <v>0.28000000000000064</v>
      </c>
      <c r="T7" s="69">
        <f t="shared" si="0"/>
        <v>0.7</v>
      </c>
      <c r="U7" s="69">
        <f t="shared" si="0"/>
        <v>0.440000000000001</v>
      </c>
      <c r="V7" s="69">
        <f t="shared" si="0"/>
        <v>0.38</v>
      </c>
      <c r="W7" s="69">
        <f>(M7-L7)/($M$6-$L$6)</f>
        <v>0.38</v>
      </c>
      <c r="X7" s="69">
        <f>(M7-L7)/($M$6-$L$6)</f>
        <v>0.38</v>
      </c>
      <c r="Y7" s="69">
        <f t="shared" ref="Y7:AE7" si="1">C7-N7*C$6</f>
        <v>0.13200000000000006</v>
      </c>
      <c r="Z7" s="69">
        <f t="shared" si="1"/>
        <v>0.15300000000000041</v>
      </c>
      <c r="AA7" s="69">
        <f t="shared" si="1"/>
        <v>0.18499999999999966</v>
      </c>
      <c r="AB7" s="69">
        <f t="shared" si="1"/>
        <v>0.20299999999999968</v>
      </c>
      <c r="AC7" s="69">
        <f t="shared" si="1"/>
        <v>0.24300000000000116</v>
      </c>
      <c r="AD7" s="69">
        <f t="shared" si="1"/>
        <v>0.41899999999999959</v>
      </c>
      <c r="AE7" s="69">
        <f t="shared" si="1"/>
        <v>0.16699999999999998</v>
      </c>
      <c r="AF7" s="69">
        <f t="shared" ref="AF7:AI13" si="2">J7-U7*J$6</f>
        <v>0.33599999999999935</v>
      </c>
      <c r="AG7" s="69">
        <f t="shared" si="2"/>
        <v>0.37800000000000006</v>
      </c>
      <c r="AH7" s="69">
        <f t="shared" si="2"/>
        <v>0.378</v>
      </c>
      <c r="AI7" s="69">
        <f t="shared" si="2"/>
        <v>0.378</v>
      </c>
    </row>
    <row r="8" spans="2:35" x14ac:dyDescent="0.2">
      <c r="B8" s="75">
        <v>3</v>
      </c>
      <c r="C8" s="76">
        <v>0.27400000000000002</v>
      </c>
      <c r="D8" s="76">
        <v>0.309</v>
      </c>
      <c r="E8" s="76">
        <v>0.34200000000000003</v>
      </c>
      <c r="F8" s="76">
        <v>0.374</v>
      </c>
      <c r="G8" s="76">
        <v>0.40600000000000003</v>
      </c>
      <c r="H8" s="76">
        <v>0.437</v>
      </c>
      <c r="I8" s="76">
        <v>0.46600000000000003</v>
      </c>
      <c r="J8" s="78">
        <v>0.49099999999999999</v>
      </c>
      <c r="K8" s="78">
        <v>0.51400000000000001</v>
      </c>
      <c r="L8" s="78">
        <v>0.53500000000000003</v>
      </c>
      <c r="M8" s="80">
        <v>0.55500000000000005</v>
      </c>
      <c r="N8" s="69">
        <f t="shared" ref="N8:N13" si="3">(D8-C8)/(D$6-C$6)</f>
        <v>0.69999999999999962</v>
      </c>
      <c r="O8" s="69">
        <f t="shared" ref="O8:Q16" si="4">(E8-D8)/(E$6-D$6)</f>
        <v>0.66</v>
      </c>
      <c r="P8" s="69">
        <f t="shared" si="4"/>
        <v>0.63999999999999957</v>
      </c>
      <c r="Q8" s="69">
        <f t="shared" si="4"/>
        <v>0.64000000000000068</v>
      </c>
      <c r="R8" s="69">
        <f t="shared" ref="R8:U16" si="5">(H8-G8)/(H$6-G$6)</f>
        <v>0.61999999999999889</v>
      </c>
      <c r="S8" s="69">
        <f t="shared" si="5"/>
        <v>0.58000000000000129</v>
      </c>
      <c r="T8" s="69">
        <f t="shared" si="5"/>
        <v>0.49999999999999889</v>
      </c>
      <c r="U8" s="69">
        <f t="shared" si="5"/>
        <v>0.46000000000000102</v>
      </c>
      <c r="V8" s="69">
        <f t="shared" ref="V8:V16" si="6">(L8-K8)/(L$6-K$6)</f>
        <v>0.42</v>
      </c>
      <c r="W8" s="69">
        <f t="shared" ref="W8:W13" si="7">(M8-L8)/($M$6-$L$6)</f>
        <v>0.4</v>
      </c>
      <c r="X8" s="69">
        <f t="shared" ref="X8:X13" si="8">(M8-L8)/($M$6-$L$6)</f>
        <v>0.4</v>
      </c>
      <c r="Y8" s="69">
        <f t="shared" ref="Y8:Y13" si="9">C8-N8*C$6</f>
        <v>6.400000000000014E-2</v>
      </c>
      <c r="Z8" s="69">
        <f t="shared" ref="Z8:Z13" si="10">D8-O8*D$6</f>
        <v>7.8000000000000014E-2</v>
      </c>
      <c r="AA8" s="69">
        <f t="shared" ref="AA8:AA13" si="11">E8-P8*E$6</f>
        <v>8.6000000000000187E-2</v>
      </c>
      <c r="AB8" s="69">
        <f t="shared" ref="AB8:AB13" si="12">F8-Q8*F$6</f>
        <v>8.5999999999999688E-2</v>
      </c>
      <c r="AC8" s="69">
        <f t="shared" ref="AC8:AC13" si="13">G8-R8*G$6</f>
        <v>9.6000000000000585E-2</v>
      </c>
      <c r="AD8" s="69">
        <f t="shared" ref="AD8:AD13" si="14">H8-S8*H$6</f>
        <v>0.11799999999999927</v>
      </c>
      <c r="AE8" s="69">
        <f>I8-T8*I$6</f>
        <v>0.1660000000000007</v>
      </c>
      <c r="AF8" s="69">
        <f t="shared" si="2"/>
        <v>0.19199999999999934</v>
      </c>
      <c r="AG8" s="69">
        <f t="shared" si="2"/>
        <v>0.22000000000000003</v>
      </c>
      <c r="AH8" s="69">
        <f t="shared" si="2"/>
        <v>0.23499999999999999</v>
      </c>
      <c r="AI8" s="69">
        <f t="shared" si="2"/>
        <v>0.23499999999999999</v>
      </c>
    </row>
    <row r="9" spans="2:35" x14ac:dyDescent="0.2">
      <c r="B9" s="75">
        <v>4</v>
      </c>
      <c r="C9" s="76">
        <v>0.20699999999999999</v>
      </c>
      <c r="D9" s="76">
        <v>0.23499999999999999</v>
      </c>
      <c r="E9" s="76">
        <v>0.26100000000000001</v>
      </c>
      <c r="F9" s="76">
        <v>0.28899999999999998</v>
      </c>
      <c r="G9" s="76">
        <v>0.318</v>
      </c>
      <c r="H9" s="76">
        <v>0.34599999999999997</v>
      </c>
      <c r="I9" s="76">
        <v>0.374</v>
      </c>
      <c r="J9" s="78">
        <v>0.39900000000000002</v>
      </c>
      <c r="K9" s="78">
        <v>0.42099999999999999</v>
      </c>
      <c r="L9" s="78">
        <v>0.441</v>
      </c>
      <c r="M9" s="80">
        <v>0.46</v>
      </c>
      <c r="N9" s="69">
        <f t="shared" si="3"/>
        <v>0.56000000000000005</v>
      </c>
      <c r="O9" s="69">
        <f t="shared" si="4"/>
        <v>0.52</v>
      </c>
      <c r="P9" s="69">
        <f t="shared" si="4"/>
        <v>0.5599999999999995</v>
      </c>
      <c r="Q9" s="69">
        <f t="shared" si="4"/>
        <v>0.58000000000000063</v>
      </c>
      <c r="R9" s="69">
        <f t="shared" si="5"/>
        <v>0.55999999999999894</v>
      </c>
      <c r="S9" s="69">
        <f t="shared" si="5"/>
        <v>0.56000000000000127</v>
      </c>
      <c r="T9" s="69">
        <f t="shared" si="5"/>
        <v>0.5</v>
      </c>
      <c r="U9" s="69">
        <f t="shared" si="5"/>
        <v>0.43999999999999989</v>
      </c>
      <c r="V9" s="69">
        <f t="shared" si="6"/>
        <v>0.4</v>
      </c>
      <c r="W9" s="69">
        <f t="shared" si="7"/>
        <v>0.38</v>
      </c>
      <c r="X9" s="69">
        <f t="shared" si="8"/>
        <v>0.38</v>
      </c>
      <c r="Y9" s="69">
        <f t="shared" si="9"/>
        <v>3.8999999999999979E-2</v>
      </c>
      <c r="Z9" s="69">
        <f t="shared" si="10"/>
        <v>5.2999999999999992E-2</v>
      </c>
      <c r="AA9" s="69">
        <f t="shared" si="11"/>
        <v>3.7000000000000199E-2</v>
      </c>
      <c r="AB9" s="69">
        <f t="shared" si="12"/>
        <v>2.7999999999999692E-2</v>
      </c>
      <c r="AC9" s="69">
        <f t="shared" si="13"/>
        <v>3.8000000000000533E-2</v>
      </c>
      <c r="AD9" s="69">
        <f t="shared" si="14"/>
        <v>3.7999999999999257E-2</v>
      </c>
      <c r="AE9" s="69">
        <f t="shared" ref="AE9:AE13" si="15">I9-T9*I$6</f>
        <v>7.400000000000001E-2</v>
      </c>
      <c r="AF9" s="69">
        <f t="shared" si="2"/>
        <v>0.1130000000000001</v>
      </c>
      <c r="AG9" s="69">
        <f t="shared" si="2"/>
        <v>0.14100000000000001</v>
      </c>
      <c r="AH9" s="69">
        <f t="shared" si="2"/>
        <v>0.15599999999999997</v>
      </c>
      <c r="AI9" s="69">
        <f t="shared" si="2"/>
        <v>0.15599999999999997</v>
      </c>
    </row>
    <row r="10" spans="2:35" x14ac:dyDescent="0.2">
      <c r="B10" s="75">
        <v>5</v>
      </c>
      <c r="C10" s="76">
        <v>0.16400000000000001</v>
      </c>
      <c r="D10" s="76">
        <v>0.187</v>
      </c>
      <c r="E10" s="76">
        <v>0.20899999999999999</v>
      </c>
      <c r="F10" s="76">
        <v>0.23200000000000001</v>
      </c>
      <c r="G10" s="76">
        <v>0.25800000000000001</v>
      </c>
      <c r="H10" s="76">
        <v>0.28699999999999998</v>
      </c>
      <c r="I10" s="76">
        <v>0.31</v>
      </c>
      <c r="J10" s="78">
        <v>0.33200000000000002</v>
      </c>
      <c r="K10" s="78">
        <v>0.35199999999999998</v>
      </c>
      <c r="L10" s="78">
        <v>0.371</v>
      </c>
      <c r="M10" s="80">
        <v>0.38900000000000001</v>
      </c>
      <c r="N10" s="69">
        <f t="shared" si="3"/>
        <v>0.45999999999999996</v>
      </c>
      <c r="O10" s="69">
        <f t="shared" si="4"/>
        <v>0.43999999999999945</v>
      </c>
      <c r="P10" s="69">
        <f t="shared" si="4"/>
        <v>0.46000000000000052</v>
      </c>
      <c r="Q10" s="69">
        <f t="shared" si="4"/>
        <v>0.52</v>
      </c>
      <c r="R10" s="69">
        <f t="shared" si="5"/>
        <v>0.57999999999999885</v>
      </c>
      <c r="S10" s="69">
        <f t="shared" si="5"/>
        <v>0.46000000000000102</v>
      </c>
      <c r="T10" s="69">
        <f t="shared" si="5"/>
        <v>0.44</v>
      </c>
      <c r="U10" s="69">
        <f t="shared" si="5"/>
        <v>0.3999999999999998</v>
      </c>
      <c r="V10" s="69">
        <f t="shared" si="6"/>
        <v>0.38</v>
      </c>
      <c r="W10" s="69">
        <f t="shared" si="7"/>
        <v>0.36</v>
      </c>
      <c r="X10" s="69">
        <f t="shared" si="8"/>
        <v>0.36</v>
      </c>
      <c r="Y10" s="69">
        <f t="shared" si="9"/>
        <v>2.6000000000000023E-2</v>
      </c>
      <c r="Z10" s="69">
        <f t="shared" si="10"/>
        <v>3.3000000000000196E-2</v>
      </c>
      <c r="AA10" s="69">
        <f t="shared" si="11"/>
        <v>2.4999999999999772E-2</v>
      </c>
      <c r="AB10" s="69">
        <f t="shared" si="12"/>
        <v>-2.0000000000000018E-3</v>
      </c>
      <c r="AC10" s="69">
        <f t="shared" si="13"/>
        <v>-3.1999999999999418E-2</v>
      </c>
      <c r="AD10" s="69">
        <f t="shared" si="14"/>
        <v>3.399999999999942E-2</v>
      </c>
      <c r="AE10" s="69">
        <f t="shared" si="15"/>
        <v>4.5999999999999985E-2</v>
      </c>
      <c r="AF10" s="69">
        <f t="shared" si="2"/>
        <v>7.2000000000000119E-2</v>
      </c>
      <c r="AG10" s="69">
        <f t="shared" si="2"/>
        <v>8.6000000000000021E-2</v>
      </c>
      <c r="AH10" s="69">
        <f t="shared" si="2"/>
        <v>0.10099999999999998</v>
      </c>
      <c r="AI10" s="69">
        <f t="shared" si="2"/>
        <v>0.10100000000000003</v>
      </c>
    </row>
    <row r="11" spans="2:35" x14ac:dyDescent="0.2">
      <c r="B11" s="75">
        <v>6</v>
      </c>
      <c r="C11" s="76">
        <v>0.13500000000000001</v>
      </c>
      <c r="D11" s="76">
        <v>0.154</v>
      </c>
      <c r="E11" s="76">
        <v>0.17199999999999999</v>
      </c>
      <c r="F11" s="76">
        <v>0.192</v>
      </c>
      <c r="G11" s="76">
        <v>0.214</v>
      </c>
      <c r="H11" s="76">
        <v>0.23599999999999999</v>
      </c>
      <c r="I11" s="76">
        <v>0.26100000000000001</v>
      </c>
      <c r="J11" s="78">
        <v>0.28199999999999997</v>
      </c>
      <c r="K11" s="78">
        <v>0.3</v>
      </c>
      <c r="L11" s="78">
        <v>0.317</v>
      </c>
      <c r="M11" s="80">
        <v>0.33300000000000002</v>
      </c>
      <c r="N11" s="69">
        <f>(D11-C11)/(D$6-C$6)</f>
        <v>0.37999999999999989</v>
      </c>
      <c r="O11" s="69">
        <f t="shared" si="4"/>
        <v>0.35999999999999943</v>
      </c>
      <c r="P11" s="69">
        <f t="shared" si="4"/>
        <v>0.40000000000000047</v>
      </c>
      <c r="Q11" s="69">
        <f t="shared" si="4"/>
        <v>0.43999999999999995</v>
      </c>
      <c r="R11" s="69">
        <f t="shared" si="5"/>
        <v>0.43999999999999945</v>
      </c>
      <c r="S11" s="69">
        <f t="shared" si="5"/>
        <v>0.50000000000000111</v>
      </c>
      <c r="T11" s="69">
        <f t="shared" si="5"/>
        <v>0.41999999999999887</v>
      </c>
      <c r="U11" s="69">
        <f t="shared" si="5"/>
        <v>0.36000000000000082</v>
      </c>
      <c r="V11" s="69">
        <f t="shared" si="6"/>
        <v>0.34</v>
      </c>
      <c r="W11" s="69">
        <f t="shared" si="7"/>
        <v>0.32</v>
      </c>
      <c r="X11" s="69">
        <f t="shared" si="8"/>
        <v>0.32</v>
      </c>
      <c r="Y11" s="69">
        <f t="shared" si="9"/>
        <v>2.1000000000000046E-2</v>
      </c>
      <c r="Z11" s="69">
        <f t="shared" si="10"/>
        <v>2.8000000000000191E-2</v>
      </c>
      <c r="AA11" s="69">
        <f t="shared" si="11"/>
        <v>1.1999999999999789E-2</v>
      </c>
      <c r="AB11" s="69">
        <f t="shared" si="12"/>
        <v>-5.9999999999999776E-3</v>
      </c>
      <c r="AC11" s="69">
        <f t="shared" si="13"/>
        <v>-5.9999999999997278E-3</v>
      </c>
      <c r="AD11" s="69">
        <f t="shared" si="14"/>
        <v>-3.9000000000000645E-2</v>
      </c>
      <c r="AE11" s="69">
        <f t="shared" si="15"/>
        <v>9.0000000000006741E-3</v>
      </c>
      <c r="AF11" s="69">
        <f t="shared" si="2"/>
        <v>4.7999999999999432E-2</v>
      </c>
      <c r="AG11" s="69">
        <f t="shared" si="2"/>
        <v>6.2E-2</v>
      </c>
      <c r="AH11" s="69">
        <f t="shared" si="2"/>
        <v>7.7000000000000013E-2</v>
      </c>
      <c r="AI11" s="69">
        <f t="shared" si="2"/>
        <v>7.7000000000000013E-2</v>
      </c>
    </row>
    <row r="12" spans="2:35" x14ac:dyDescent="0.2">
      <c r="B12" s="75">
        <v>7</v>
      </c>
      <c r="C12" s="76">
        <v>0.114</v>
      </c>
      <c r="D12" s="76">
        <v>0.13</v>
      </c>
      <c r="E12" s="76">
        <v>0.14499999999999999</v>
      </c>
      <c r="F12" s="76">
        <v>0.16300000000000001</v>
      </c>
      <c r="G12" s="76">
        <v>0.17699999999999999</v>
      </c>
      <c r="H12" s="76">
        <v>0.20200000000000001</v>
      </c>
      <c r="I12" s="76">
        <v>0.224</v>
      </c>
      <c r="J12" s="78">
        <v>0.24399999999999999</v>
      </c>
      <c r="K12" s="78">
        <v>0.25900000000000001</v>
      </c>
      <c r="L12" s="78">
        <v>0.27400000000000002</v>
      </c>
      <c r="M12" s="80">
        <v>0.28899999999999998</v>
      </c>
      <c r="N12" s="69">
        <f t="shared" si="3"/>
        <v>0.32000000000000006</v>
      </c>
      <c r="O12" s="69">
        <f t="shared" si="4"/>
        <v>0.29999999999999943</v>
      </c>
      <c r="P12" s="69">
        <f t="shared" si="4"/>
        <v>0.36000000000000038</v>
      </c>
      <c r="Q12" s="69">
        <f t="shared" si="4"/>
        <v>0.27999999999999975</v>
      </c>
      <c r="R12" s="69">
        <f t="shared" si="5"/>
        <v>0.5</v>
      </c>
      <c r="S12" s="69">
        <f t="shared" si="5"/>
        <v>0.44000000000000045</v>
      </c>
      <c r="T12" s="69">
        <f t="shared" si="5"/>
        <v>0.39999999999999947</v>
      </c>
      <c r="U12" s="69">
        <f t="shared" si="5"/>
        <v>0.30000000000000066</v>
      </c>
      <c r="V12" s="69">
        <f t="shared" si="6"/>
        <v>0.3</v>
      </c>
      <c r="W12" s="69">
        <f t="shared" si="7"/>
        <v>0.29999999999999888</v>
      </c>
      <c r="X12" s="69">
        <f t="shared" si="8"/>
        <v>0.29999999999999888</v>
      </c>
      <c r="Y12" s="69">
        <f t="shared" si="9"/>
        <v>1.7999999999999988E-2</v>
      </c>
      <c r="Z12" s="69">
        <f t="shared" si="10"/>
        <v>2.5000000000000203E-2</v>
      </c>
      <c r="AA12" s="69">
        <f t="shared" si="11"/>
        <v>9.9999999999983435E-4</v>
      </c>
      <c r="AB12" s="69">
        <f t="shared" si="12"/>
        <v>3.7000000000000116E-2</v>
      </c>
      <c r="AC12" s="69">
        <f t="shared" si="13"/>
        <v>-7.3000000000000009E-2</v>
      </c>
      <c r="AD12" s="69">
        <f t="shared" si="14"/>
        <v>-4.0000000000000258E-2</v>
      </c>
      <c r="AE12" s="69">
        <f t="shared" si="15"/>
        <v>-1.5999999999999653E-2</v>
      </c>
      <c r="AF12" s="69">
        <f t="shared" si="2"/>
        <v>4.8999999999999572E-2</v>
      </c>
      <c r="AG12" s="69">
        <f t="shared" si="2"/>
        <v>4.9000000000000016E-2</v>
      </c>
      <c r="AH12" s="69">
        <f t="shared" si="2"/>
        <v>4.9000000000000876E-2</v>
      </c>
      <c r="AI12" s="69">
        <f t="shared" si="2"/>
        <v>4.9000000000000876E-2</v>
      </c>
    </row>
    <row r="13" spans="2:35" x14ac:dyDescent="0.2">
      <c r="B13" s="75">
        <v>8</v>
      </c>
      <c r="C13" s="76">
        <v>9.8000000000000004E-2</v>
      </c>
      <c r="D13" s="76">
        <v>0.112</v>
      </c>
      <c r="E13" s="76">
        <v>0.126</v>
      </c>
      <c r="F13" s="76">
        <v>0.14000000000000001</v>
      </c>
      <c r="G13" s="76">
        <v>0.154</v>
      </c>
      <c r="H13" s="76">
        <v>0.17499999999999999</v>
      </c>
      <c r="I13" s="76">
        <v>0.19500000000000001</v>
      </c>
      <c r="J13" s="78">
        <v>0.21199999999999999</v>
      </c>
      <c r="K13" s="78">
        <v>0.22700000000000001</v>
      </c>
      <c r="L13" s="78">
        <v>0.24099999999999999</v>
      </c>
      <c r="M13" s="80">
        <v>0.254</v>
      </c>
      <c r="N13" s="69">
        <f t="shared" si="3"/>
        <v>0.28000000000000003</v>
      </c>
      <c r="O13" s="69">
        <f t="shared" si="4"/>
        <v>0.27999999999999975</v>
      </c>
      <c r="P13" s="69">
        <f t="shared" si="4"/>
        <v>0.2800000000000003</v>
      </c>
      <c r="Q13" s="69">
        <f t="shared" si="4"/>
        <v>0.27999999999999975</v>
      </c>
      <c r="R13" s="69">
        <f t="shared" si="5"/>
        <v>0.41999999999999943</v>
      </c>
      <c r="S13" s="69">
        <f t="shared" si="5"/>
        <v>0.40000000000000091</v>
      </c>
      <c r="T13" s="69">
        <f t="shared" si="5"/>
        <v>0.33999999999999947</v>
      </c>
      <c r="U13" s="69">
        <f t="shared" si="5"/>
        <v>0.30000000000000066</v>
      </c>
      <c r="V13" s="69">
        <f t="shared" si="6"/>
        <v>0.27999999999999947</v>
      </c>
      <c r="W13" s="69">
        <f t="shared" si="7"/>
        <v>0.26</v>
      </c>
      <c r="X13" s="69">
        <f t="shared" si="8"/>
        <v>0.26</v>
      </c>
      <c r="Y13" s="69">
        <f t="shared" si="9"/>
        <v>1.3999999999999999E-2</v>
      </c>
      <c r="Z13" s="69">
        <f t="shared" si="10"/>
        <v>1.4000000000000096E-2</v>
      </c>
      <c r="AA13" s="69">
        <f t="shared" si="11"/>
        <v>1.3999999999999874E-2</v>
      </c>
      <c r="AB13" s="69">
        <f t="shared" si="12"/>
        <v>1.4000000000000123E-2</v>
      </c>
      <c r="AC13" s="69">
        <f t="shared" si="13"/>
        <v>-5.5999999999999717E-2</v>
      </c>
      <c r="AD13" s="69">
        <f t="shared" si="14"/>
        <v>-4.500000000000054E-2</v>
      </c>
      <c r="AE13" s="69">
        <f t="shared" si="15"/>
        <v>-8.9999999999996749E-3</v>
      </c>
      <c r="AF13" s="69">
        <f t="shared" si="2"/>
        <v>1.6999999999999571E-2</v>
      </c>
      <c r="AG13" s="69">
        <f t="shared" si="2"/>
        <v>3.1000000000000388E-2</v>
      </c>
      <c r="AH13" s="69">
        <f t="shared" si="2"/>
        <v>4.5999999999999985E-2</v>
      </c>
      <c r="AI13" s="69">
        <f t="shared" si="2"/>
        <v>4.5999999999999985E-2</v>
      </c>
    </row>
    <row r="14" spans="2:35" x14ac:dyDescent="0.2">
      <c r="B14" s="75">
        <v>9</v>
      </c>
      <c r="C14" s="76">
        <v>8.5900000000000004E-2</v>
      </c>
      <c r="D14" s="76">
        <v>9.8100000000000007E-2</v>
      </c>
      <c r="E14" s="76">
        <v>0.1106</v>
      </c>
      <c r="F14" s="76">
        <v>0.12330000000000001</v>
      </c>
      <c r="G14" s="76">
        <v>0.13569999999999999</v>
      </c>
      <c r="H14" s="76">
        <v>0.15429999999999999</v>
      </c>
      <c r="I14" s="76">
        <v>0.17230000000000001</v>
      </c>
      <c r="J14" s="78">
        <v>0.18790000000000001</v>
      </c>
      <c r="K14" s="78">
        <v>0.20169999999999999</v>
      </c>
      <c r="L14" s="78">
        <v>0.21429999999999999</v>
      </c>
      <c r="M14" s="80">
        <v>0.22700000000000001</v>
      </c>
      <c r="N14" s="69">
        <f t="shared" ref="N14:N15" si="16">(D14-C14)/(D$6-C$6)</f>
        <v>0.24400000000000011</v>
      </c>
      <c r="O14" s="69">
        <f t="shared" ref="O14:O15" si="17">(E14-D14)/(E$6-D$6)</f>
        <v>0.24999999999999972</v>
      </c>
      <c r="P14" s="69">
        <f t="shared" ref="P14:P15" si="18">(F14-E14)/(F$6-E$6)</f>
        <v>0.25400000000000011</v>
      </c>
      <c r="Q14" s="69">
        <f t="shared" ref="Q14:Q15" si="19">(G14-F14)/(G$6-F$6)</f>
        <v>0.24799999999999967</v>
      </c>
      <c r="R14" s="69">
        <f t="shared" ref="R14:R15" si="20">(H14-G14)/(H$6-G$6)</f>
        <v>0.37199999999999978</v>
      </c>
      <c r="S14" s="69">
        <f t="shared" ref="S14:S15" si="21">(I14-H14)/(I$6-H$6)</f>
        <v>0.36000000000000082</v>
      </c>
      <c r="T14" s="69">
        <f t="shared" ref="T14:T15" si="22">(J14-I14)/(J$6-I$6)</f>
        <v>0.31199999999999978</v>
      </c>
      <c r="U14" s="69">
        <f t="shared" ref="U14:U15" si="23">(K14-J14)/(K$6-J$6)</f>
        <v>0.27599999999999997</v>
      </c>
      <c r="V14" s="69">
        <f t="shared" ref="V14:V15" si="24">(L14-K14)/(L$6-K$6)</f>
        <v>0.25199999999999978</v>
      </c>
      <c r="W14" s="69">
        <f t="shared" ref="W14:W16" si="25">(M14-L14)/($M$6-$L$6)</f>
        <v>0.25400000000000011</v>
      </c>
      <c r="X14" s="69">
        <f t="shared" ref="X14:X16" si="26">(M14-L14)/($M$6-$L$6)</f>
        <v>0.25400000000000011</v>
      </c>
      <c r="Y14" s="69">
        <f t="shared" ref="Y14:Y16" si="27">C14-N14*C$6</f>
        <v>1.2699999999999975E-2</v>
      </c>
      <c r="Z14" s="69">
        <f t="shared" ref="Z14:Z16" si="28">D14-O14*D$6</f>
        <v>1.0600000000000109E-2</v>
      </c>
      <c r="AA14" s="69">
        <f t="shared" ref="AA14:AA16" si="29">E14-P14*E$6</f>
        <v>8.9999999999999525E-3</v>
      </c>
      <c r="AB14" s="69">
        <f t="shared" ref="AB14:AB16" si="30">F14-Q14*F$6</f>
        <v>1.1700000000000155E-2</v>
      </c>
      <c r="AC14" s="69">
        <f t="shared" ref="AC14:AC16" si="31">G14-R14*G$6</f>
        <v>-5.02999999999999E-2</v>
      </c>
      <c r="AD14" s="69">
        <f t="shared" ref="AD14:AD16" si="32">H14-S14*H$6</f>
        <v>-4.3700000000000461E-2</v>
      </c>
      <c r="AE14" s="69">
        <f t="shared" ref="AE14:AE16" si="33">I14-T14*I$6</f>
        <v>-1.4899999999999858E-2</v>
      </c>
      <c r="AF14" s="69">
        <f t="shared" ref="AF14:AF16" si="34">J14-U14*J$6</f>
        <v>8.5000000000000353E-3</v>
      </c>
      <c r="AG14" s="69">
        <f t="shared" ref="AG14:AG16" si="35">K14-V14*K$6</f>
        <v>2.5300000000000156E-2</v>
      </c>
      <c r="AH14" s="69">
        <f t="shared" ref="AH14:AH16" si="36">L14-W14*L$6</f>
        <v>2.3799999999999905E-2</v>
      </c>
      <c r="AI14" s="69">
        <f t="shared" ref="AI14:AI16" si="37">M14-X14*M$6</f>
        <v>2.3799999999999905E-2</v>
      </c>
    </row>
    <row r="15" spans="2:35" x14ac:dyDescent="0.2">
      <c r="B15" s="75">
        <v>10</v>
      </c>
      <c r="C15" s="76">
        <v>7.6300000000000007E-2</v>
      </c>
      <c r="D15" s="76">
        <v>8.7300000000000003E-2</v>
      </c>
      <c r="E15" s="76">
        <v>9.8599999999999993E-2</v>
      </c>
      <c r="F15" s="76">
        <v>0.1096</v>
      </c>
      <c r="G15" s="76">
        <v>0.1207</v>
      </c>
      <c r="H15" s="76">
        <v>0.13750000000000001</v>
      </c>
      <c r="I15" s="76">
        <v>0.154</v>
      </c>
      <c r="J15" s="78">
        <v>0.16819999999999999</v>
      </c>
      <c r="K15" s="78">
        <v>0.18090000000000001</v>
      </c>
      <c r="L15" s="78">
        <v>0.19259999999999999</v>
      </c>
      <c r="M15" s="80">
        <v>0.2044</v>
      </c>
      <c r="N15" s="69">
        <f t="shared" si="16"/>
        <v>0.21999999999999997</v>
      </c>
      <c r="O15" s="69">
        <f t="shared" si="17"/>
        <v>0.22599999999999962</v>
      </c>
      <c r="P15" s="69">
        <f t="shared" si="18"/>
        <v>0.22000000000000025</v>
      </c>
      <c r="Q15" s="69">
        <f t="shared" si="19"/>
        <v>0.22200000000000003</v>
      </c>
      <c r="R15" s="69">
        <f t="shared" si="20"/>
        <v>0.33599999999999991</v>
      </c>
      <c r="S15" s="69">
        <f t="shared" si="21"/>
        <v>0.33000000000000018</v>
      </c>
      <c r="T15" s="69">
        <f t="shared" si="22"/>
        <v>0.28399999999999953</v>
      </c>
      <c r="U15" s="69">
        <f t="shared" si="23"/>
        <v>0.25400000000000067</v>
      </c>
      <c r="V15" s="69">
        <f t="shared" si="24"/>
        <v>0.23399999999999957</v>
      </c>
      <c r="W15" s="69">
        <f t="shared" si="25"/>
        <v>0.23599999999999988</v>
      </c>
      <c r="X15" s="69">
        <f t="shared" si="26"/>
        <v>0.23599999999999988</v>
      </c>
      <c r="Y15" s="69">
        <f t="shared" si="27"/>
        <v>1.0300000000000017E-2</v>
      </c>
      <c r="Z15" s="69">
        <f t="shared" si="28"/>
        <v>8.2000000000001377E-3</v>
      </c>
      <c r="AA15" s="69">
        <f t="shared" si="29"/>
        <v>1.0599999999999887E-2</v>
      </c>
      <c r="AB15" s="69">
        <f t="shared" si="30"/>
        <v>9.6999999999999864E-3</v>
      </c>
      <c r="AC15" s="69">
        <f t="shared" si="31"/>
        <v>-4.7299999999999953E-2</v>
      </c>
      <c r="AD15" s="69">
        <f t="shared" si="32"/>
        <v>-4.4000000000000095E-2</v>
      </c>
      <c r="AE15" s="69">
        <f t="shared" si="33"/>
        <v>-1.639999999999972E-2</v>
      </c>
      <c r="AF15" s="69">
        <f t="shared" si="34"/>
        <v>3.0999999999995476E-3</v>
      </c>
      <c r="AG15" s="69">
        <f t="shared" si="35"/>
        <v>1.7100000000000309E-2</v>
      </c>
      <c r="AH15" s="69">
        <f t="shared" si="36"/>
        <v>1.5600000000000086E-2</v>
      </c>
      <c r="AI15" s="69">
        <f t="shared" si="37"/>
        <v>1.5600000000000086E-2</v>
      </c>
    </row>
    <row r="16" spans="2:35" x14ac:dyDescent="0.2">
      <c r="B16" s="72">
        <v>11</v>
      </c>
      <c r="C16" s="77">
        <v>6.8699999999999997E-2</v>
      </c>
      <c r="D16" s="77">
        <v>7.8600000000000003E-2</v>
      </c>
      <c r="E16" s="77">
        <v>8.8700000000000001E-2</v>
      </c>
      <c r="F16" s="77">
        <v>9.8799999999999999E-2</v>
      </c>
      <c r="G16" s="77">
        <v>0.10879999999999999</v>
      </c>
      <c r="H16" s="77">
        <v>0.124</v>
      </c>
      <c r="I16" s="77">
        <v>0.13850000000000001</v>
      </c>
      <c r="J16" s="79">
        <v>0.152</v>
      </c>
      <c r="K16" s="79">
        <v>0.1638</v>
      </c>
      <c r="L16" s="79">
        <v>0.17460000000000001</v>
      </c>
      <c r="M16" s="81">
        <v>0.18559999999999999</v>
      </c>
      <c r="N16" s="69">
        <f>(D16-C16)/(D$6-C$6)</f>
        <v>0.19800000000000018</v>
      </c>
      <c r="O16" s="69">
        <f t="shared" si="4"/>
        <v>0.20199999999999979</v>
      </c>
      <c r="P16" s="69">
        <f t="shared" si="4"/>
        <v>0.20200000000000001</v>
      </c>
      <c r="Q16" s="69">
        <f t="shared" si="4"/>
        <v>0.19999999999999996</v>
      </c>
      <c r="R16" s="69">
        <f t="shared" si="5"/>
        <v>0.30399999999999983</v>
      </c>
      <c r="S16" s="69">
        <f t="shared" si="5"/>
        <v>0.29000000000000065</v>
      </c>
      <c r="T16" s="69">
        <f t="shared" si="5"/>
        <v>0.26999999999999946</v>
      </c>
      <c r="U16" s="69">
        <f t="shared" si="5"/>
        <v>0.2360000000000004</v>
      </c>
      <c r="V16" s="69">
        <f t="shared" si="6"/>
        <v>0.21599999999999989</v>
      </c>
      <c r="W16" s="69">
        <f t="shared" si="25"/>
        <v>0.21999999999999945</v>
      </c>
      <c r="X16" s="69">
        <f t="shared" si="26"/>
        <v>0.21999999999999945</v>
      </c>
      <c r="Y16" s="69">
        <f t="shared" si="27"/>
        <v>9.2999999999999472E-3</v>
      </c>
      <c r="Z16" s="69">
        <f t="shared" si="28"/>
        <v>7.9000000000000875E-3</v>
      </c>
      <c r="AA16" s="69">
        <f t="shared" si="29"/>
        <v>7.8999999999999904E-3</v>
      </c>
      <c r="AB16" s="69">
        <f t="shared" si="30"/>
        <v>8.8000000000000161E-3</v>
      </c>
      <c r="AC16" s="69">
        <f t="shared" si="31"/>
        <v>-4.3199999999999919E-2</v>
      </c>
      <c r="AD16" s="69">
        <f t="shared" si="32"/>
        <v>-3.5500000000000365E-2</v>
      </c>
      <c r="AE16" s="69">
        <f t="shared" si="33"/>
        <v>-2.349999999999966E-2</v>
      </c>
      <c r="AF16" s="69">
        <f t="shared" si="34"/>
        <v>-1.4000000000002621E-3</v>
      </c>
      <c r="AG16" s="69">
        <f t="shared" si="35"/>
        <v>1.2600000000000083E-2</v>
      </c>
      <c r="AH16" s="69">
        <f t="shared" si="36"/>
        <v>9.6000000000004138E-3</v>
      </c>
      <c r="AI16" s="69">
        <f t="shared" si="37"/>
        <v>9.6000000000004138E-3</v>
      </c>
    </row>
    <row r="17" spans="1:31" x14ac:dyDescent="0.2">
      <c r="B17" s="34"/>
      <c r="C17" s="31"/>
      <c r="D17" s="31"/>
      <c r="E17" s="31"/>
      <c r="F17" s="31"/>
      <c r="G17" s="31"/>
      <c r="H17" s="31"/>
      <c r="I17" s="31"/>
      <c r="J17" s="70"/>
      <c r="K17" s="70"/>
      <c r="L17" s="70"/>
      <c r="M17" s="70"/>
    </row>
    <row r="18" spans="1:31" x14ac:dyDescent="0.2">
      <c r="B18" s="154" t="s">
        <v>45</v>
      </c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6"/>
    </row>
    <row r="19" spans="1:31" x14ac:dyDescent="0.2">
      <c r="B19" s="115" t="s">
        <v>60</v>
      </c>
      <c r="C19" s="142" t="s">
        <v>10</v>
      </c>
      <c r="D19" s="143"/>
      <c r="E19" s="143"/>
      <c r="F19" s="143"/>
      <c r="G19" s="143"/>
      <c r="H19" s="143"/>
      <c r="I19" s="143"/>
      <c r="J19" s="143"/>
      <c r="K19" s="143"/>
      <c r="L19" s="143"/>
      <c r="M19" s="144"/>
    </row>
    <row r="20" spans="1:31" x14ac:dyDescent="0.2">
      <c r="B20" s="29" t="s">
        <v>11</v>
      </c>
      <c r="C20" s="117">
        <v>1</v>
      </c>
      <c r="D20" s="118">
        <v>2</v>
      </c>
      <c r="E20" s="118">
        <v>3</v>
      </c>
      <c r="F20" s="118">
        <v>4</v>
      </c>
      <c r="G20" s="118">
        <v>5</v>
      </c>
      <c r="H20" s="118">
        <v>6</v>
      </c>
      <c r="I20" s="126">
        <v>7</v>
      </c>
      <c r="J20" s="127">
        <v>8</v>
      </c>
      <c r="K20" s="128">
        <v>9</v>
      </c>
      <c r="L20" s="129">
        <v>10</v>
      </c>
      <c r="M20" s="126">
        <v>11</v>
      </c>
    </row>
    <row r="21" spans="1:31" x14ac:dyDescent="0.2">
      <c r="B21" s="29">
        <v>2</v>
      </c>
      <c r="C21" s="58" t="str">
        <f>IF(MGD!$L12="","",N7*MGD!$M12+'g_en_c-factors'!Y7)</f>
        <v/>
      </c>
      <c r="D21" s="119" t="str">
        <f>IF(MGD!$L12="","",O7*MGD!$M12+'g_en_c-factors'!Z7)</f>
        <v/>
      </c>
      <c r="E21" s="58" t="str">
        <f>IF(MGD!$L12="","",P7*MGD!$M12+'g_en_c-factors'!AA7)</f>
        <v/>
      </c>
      <c r="F21" s="119" t="str">
        <f>IF(MGD!$L12="","",Q7*MGD!$M12+'g_en_c-factors'!AB7)</f>
        <v/>
      </c>
      <c r="G21" s="58" t="str">
        <f>IF(MGD!$L12="","",R7*MGD!$M12+'g_en_c-factors'!AC7)</f>
        <v/>
      </c>
      <c r="H21" s="119" t="str">
        <f>IF(MGD!$L12="","",S7*MGD!$M12+'g_en_c-factors'!AD7)</f>
        <v/>
      </c>
      <c r="I21" s="58" t="str">
        <f>IF(MGD!$L12="","",T7*MGD!$M12+'g_en_c-factors'!AE7)</f>
        <v/>
      </c>
      <c r="J21" s="119" t="str">
        <f>IF(MGD!$L12="","",U7*MGD!$M12+'g_en_c-factors'!AF7)</f>
        <v/>
      </c>
      <c r="K21" s="58" t="str">
        <f>IF(MGD!$L12="","",V7*MGD!$M12+'g_en_c-factors'!AG7)</f>
        <v/>
      </c>
      <c r="L21" s="119" t="str">
        <f>IF(MGD!$L12="","",W7*MGD!$M12+'g_en_c-factors'!AH7)</f>
        <v/>
      </c>
      <c r="M21" s="58" t="str">
        <f>IF(MGD!$L12="","",X7*MGD!$M12+'g_en_c-factors'!AI7)</f>
        <v/>
      </c>
    </row>
    <row r="22" spans="1:31" x14ac:dyDescent="0.2">
      <c r="B22" s="29">
        <v>3</v>
      </c>
      <c r="C22" s="35" t="str">
        <f>IF(MGD!$L13="","",N8*MGD!$M13+'g_en_c-factors'!Y8)</f>
        <v/>
      </c>
      <c r="D22" s="31" t="str">
        <f>IF(MGD!$L13="","",O8*MGD!$M13+'g_en_c-factors'!Z8)</f>
        <v/>
      </c>
      <c r="E22" s="35" t="str">
        <f>IF(MGD!$L13="","",P8*MGD!$M13+'g_en_c-factors'!AA8)</f>
        <v/>
      </c>
      <c r="F22" s="31" t="str">
        <f>IF(MGD!$L13="","",Q8*MGD!$M13+'g_en_c-factors'!AB8)</f>
        <v/>
      </c>
      <c r="G22" s="35" t="str">
        <f>IF(MGD!$L13="","",R8*MGD!$M13+'g_en_c-factors'!AC8)</f>
        <v/>
      </c>
      <c r="H22" s="31" t="str">
        <f>IF(MGD!$L13="","",S8*MGD!$M13+'g_en_c-factors'!AD8)</f>
        <v/>
      </c>
      <c r="I22" s="35" t="str">
        <f>IF(MGD!$L13="","",T8*MGD!$M13+'g_en_c-factors'!AE8)</f>
        <v/>
      </c>
      <c r="J22" s="31" t="str">
        <f>IF(MGD!$L13="","",U8*MGD!$M13+'g_en_c-factors'!AF8)</f>
        <v/>
      </c>
      <c r="K22" s="35" t="str">
        <f>IF(MGD!$L13="","",V8*MGD!$M13+'g_en_c-factors'!AG8)</f>
        <v/>
      </c>
      <c r="L22" s="31" t="str">
        <f>IF(MGD!$L13="","",W8*MGD!$M13+'g_en_c-factors'!AH8)</f>
        <v/>
      </c>
      <c r="M22" s="35" t="str">
        <f>IF(MGD!$L13="","",X8*MGD!$M13+'g_en_c-factors'!AI8)</f>
        <v/>
      </c>
    </row>
    <row r="23" spans="1:31" x14ac:dyDescent="0.2">
      <c r="B23" s="29">
        <v>4</v>
      </c>
      <c r="C23" s="35" t="str">
        <f>IF(MGD!$L14="","",N9*MGD!$M14+'g_en_c-factors'!Y9)</f>
        <v/>
      </c>
      <c r="D23" s="31" t="str">
        <f>IF(MGD!$L14="","",O9*MGD!$M14+'g_en_c-factors'!Z9)</f>
        <v/>
      </c>
      <c r="E23" s="35" t="str">
        <f>IF(MGD!$L14="","",P9*MGD!$M14+'g_en_c-factors'!AA9)</f>
        <v/>
      </c>
      <c r="F23" s="31" t="str">
        <f>IF(MGD!$L14="","",Q9*MGD!$M14+'g_en_c-factors'!AB9)</f>
        <v/>
      </c>
      <c r="G23" s="35" t="str">
        <f>IF(MGD!$L14="","",R9*MGD!$M14+'g_en_c-factors'!AC9)</f>
        <v/>
      </c>
      <c r="H23" s="31" t="str">
        <f>IF(MGD!$L14="","",S9*MGD!$M14+'g_en_c-factors'!AD9)</f>
        <v/>
      </c>
      <c r="I23" s="35" t="str">
        <f>IF(MGD!$L14="","",T9*MGD!$M14+'g_en_c-factors'!AE9)</f>
        <v/>
      </c>
      <c r="J23" s="31" t="str">
        <f>IF(MGD!$L14="","",U9*MGD!$M14+'g_en_c-factors'!AF9)</f>
        <v/>
      </c>
      <c r="K23" s="35" t="str">
        <f>IF(MGD!$L14="","",V9*MGD!$M14+'g_en_c-factors'!AG9)</f>
        <v/>
      </c>
      <c r="L23" s="31" t="str">
        <f>IF(MGD!$L14="","",W9*MGD!$M14+'g_en_c-factors'!AH9)</f>
        <v/>
      </c>
      <c r="M23" s="35" t="str">
        <f>IF(MGD!$L14="","",X9*MGD!$M14+'g_en_c-factors'!AI9)</f>
        <v/>
      </c>
    </row>
    <row r="24" spans="1:31" x14ac:dyDescent="0.2">
      <c r="B24" s="29">
        <v>5</v>
      </c>
      <c r="C24" s="35" t="str">
        <f>IF(MGD!$L15="","",N10*MGD!$M15+'g_en_c-factors'!Y10)</f>
        <v/>
      </c>
      <c r="D24" s="31" t="str">
        <f>IF(MGD!$L15="","",O10*MGD!$M15+'g_en_c-factors'!Z10)</f>
        <v/>
      </c>
      <c r="E24" s="35" t="str">
        <f>IF(MGD!$L15="","",P10*MGD!$M15+'g_en_c-factors'!AA10)</f>
        <v/>
      </c>
      <c r="F24" s="31" t="str">
        <f>IF(MGD!$L15="","",Q10*MGD!$M15+'g_en_c-factors'!AB10)</f>
        <v/>
      </c>
      <c r="G24" s="35" t="str">
        <f>IF(MGD!$L15="","",R10*MGD!$M15+'g_en_c-factors'!AC10)</f>
        <v/>
      </c>
      <c r="H24" s="31" t="str">
        <f>IF(MGD!$L15="","",S10*MGD!$M15+'g_en_c-factors'!AD10)</f>
        <v/>
      </c>
      <c r="I24" s="35" t="str">
        <f>IF(MGD!$L15="","",T10*MGD!$M15+'g_en_c-factors'!AE10)</f>
        <v/>
      </c>
      <c r="J24" s="31" t="str">
        <f>IF(MGD!$L15="","",U10*MGD!$M15+'g_en_c-factors'!AF10)</f>
        <v/>
      </c>
      <c r="K24" s="35" t="str">
        <f>IF(MGD!$L15="","",V10*MGD!$M15+'g_en_c-factors'!AG10)</f>
        <v/>
      </c>
      <c r="L24" s="31" t="str">
        <f>IF(MGD!$L15="","",W10*MGD!$M15+'g_en_c-factors'!AH10)</f>
        <v/>
      </c>
      <c r="M24" s="35" t="str">
        <f>IF(MGD!$L15="","",X10*MGD!$M15+'g_en_c-factors'!AI10)</f>
        <v/>
      </c>
    </row>
    <row r="25" spans="1:31" x14ac:dyDescent="0.2">
      <c r="B25" s="29">
        <v>6</v>
      </c>
      <c r="C25" s="35" t="str">
        <f>IF(MGD!$L16="","",N11*MGD!$M16+'g_en_c-factors'!Y11)</f>
        <v/>
      </c>
      <c r="D25" s="31" t="str">
        <f>IF(MGD!$L16="","",O11*MGD!$M16+'g_en_c-factors'!Z11)</f>
        <v/>
      </c>
      <c r="E25" s="35" t="str">
        <f>IF(MGD!$L16="","",P11*MGD!$M16+'g_en_c-factors'!AA11)</f>
        <v/>
      </c>
      <c r="F25" s="31" t="str">
        <f>IF(MGD!$L16="","",Q11*MGD!$M16+'g_en_c-factors'!AB11)</f>
        <v/>
      </c>
      <c r="G25" s="35" t="str">
        <f>IF(MGD!$L16="","",R11*MGD!$M16+'g_en_c-factors'!AC11)</f>
        <v/>
      </c>
      <c r="H25" s="31" t="str">
        <f>IF(MGD!$L16="","",S11*MGD!$M16+'g_en_c-factors'!AD11)</f>
        <v/>
      </c>
      <c r="I25" s="35" t="str">
        <f>IF(MGD!$L16="","",T11*MGD!$M16+'g_en_c-factors'!AE11)</f>
        <v/>
      </c>
      <c r="J25" s="31" t="str">
        <f>IF(MGD!$L16="","",U11*MGD!$M16+'g_en_c-factors'!AF11)</f>
        <v/>
      </c>
      <c r="K25" s="35" t="str">
        <f>IF(MGD!$L16="","",V11*MGD!$M16+'g_en_c-factors'!AG11)</f>
        <v/>
      </c>
      <c r="L25" s="31" t="str">
        <f>IF(MGD!$L16="","",W11*MGD!$M16+'g_en_c-factors'!AH11)</f>
        <v/>
      </c>
      <c r="M25" s="35" t="str">
        <f>IF(MGD!$L16="","",X11*MGD!$M16+'g_en_c-factors'!AI11)</f>
        <v/>
      </c>
    </row>
    <row r="26" spans="1:31" x14ac:dyDescent="0.2">
      <c r="B26" s="29">
        <v>7</v>
      </c>
      <c r="C26" s="35" t="str">
        <f>IF(MGD!$L17="","",N12*MGD!$M17+'g_en_c-factors'!Y12)</f>
        <v/>
      </c>
      <c r="D26" s="31" t="str">
        <f>IF(MGD!$L17="","",O12*MGD!$M17+'g_en_c-factors'!Z12)</f>
        <v/>
      </c>
      <c r="E26" s="35" t="str">
        <f>IF(MGD!$L17="","",P12*MGD!$M17+'g_en_c-factors'!AA12)</f>
        <v/>
      </c>
      <c r="F26" s="31" t="str">
        <f>IF(MGD!$L17="","",Q12*MGD!$M17+'g_en_c-factors'!AB12)</f>
        <v/>
      </c>
      <c r="G26" s="35" t="str">
        <f>IF(MGD!$L17="","",R12*MGD!$M17+'g_en_c-factors'!AC12)</f>
        <v/>
      </c>
      <c r="H26" s="31" t="str">
        <f>IF(MGD!$L17="","",S12*MGD!$M17+'g_en_c-factors'!AD12)</f>
        <v/>
      </c>
      <c r="I26" s="35" t="str">
        <f>IF(MGD!$L17="","",T12*MGD!$M17+'g_en_c-factors'!AE12)</f>
        <v/>
      </c>
      <c r="J26" s="31" t="str">
        <f>IF(MGD!$L17="","",U12*MGD!$M17+'g_en_c-factors'!AF12)</f>
        <v/>
      </c>
      <c r="K26" s="35" t="str">
        <f>IF(MGD!$L17="","",V12*MGD!$M17+'g_en_c-factors'!AG12)</f>
        <v/>
      </c>
      <c r="L26" s="31" t="str">
        <f>IF(MGD!$L17="","",W12*MGD!$M17+'g_en_c-factors'!AH12)</f>
        <v/>
      </c>
      <c r="M26" s="35" t="str">
        <f>IF(MGD!$L17="","",X12*MGD!$M17+'g_en_c-factors'!AI12)</f>
        <v/>
      </c>
    </row>
    <row r="27" spans="1:31" x14ac:dyDescent="0.2">
      <c r="B27" s="29">
        <v>8</v>
      </c>
      <c r="C27" s="35" t="str">
        <f>IF(MGD!$L18="","",N13*MGD!$M18+'g_en_c-factors'!Y13)</f>
        <v/>
      </c>
      <c r="D27" s="31" t="str">
        <f>IF(MGD!$L18="","",O13*MGD!$M18+'g_en_c-factors'!Z13)</f>
        <v/>
      </c>
      <c r="E27" s="35" t="str">
        <f>IF(MGD!$L18="","",P13*MGD!$M18+'g_en_c-factors'!AA13)</f>
        <v/>
      </c>
      <c r="F27" s="31" t="str">
        <f>IF(MGD!$L18="","",Q13*MGD!$M18+'g_en_c-factors'!AB13)</f>
        <v/>
      </c>
      <c r="G27" s="35" t="str">
        <f>IF(MGD!$L18="","",R13*MGD!$M18+'g_en_c-factors'!AC13)</f>
        <v/>
      </c>
      <c r="H27" s="31" t="str">
        <f>IF(MGD!$L18="","",S13*MGD!$M18+'g_en_c-factors'!AD13)</f>
        <v/>
      </c>
      <c r="I27" s="35" t="str">
        <f>IF(MGD!$L18="","",T13*MGD!$M18+'g_en_c-factors'!AE13)</f>
        <v/>
      </c>
      <c r="J27" s="31" t="str">
        <f>IF(MGD!$L18="","",U13*MGD!$M18+'g_en_c-factors'!AF13)</f>
        <v/>
      </c>
      <c r="K27" s="35" t="str">
        <f>IF(MGD!$L18="","",V13*MGD!$M18+'g_en_c-factors'!AG13)</f>
        <v/>
      </c>
      <c r="L27" s="31" t="str">
        <f>IF(MGD!$L18="","",W13*MGD!$M18+'g_en_c-factors'!AH13)</f>
        <v/>
      </c>
      <c r="M27" s="35" t="str">
        <f>IF(MGD!$L18="","",X13*MGD!$M18+'g_en_c-factors'!AI13)</f>
        <v/>
      </c>
    </row>
    <row r="28" spans="1:31" x14ac:dyDescent="0.2">
      <c r="B28" s="29">
        <v>9</v>
      </c>
      <c r="C28" s="35" t="str">
        <f>IF(MGD!$L19="","",N14*MGD!$M19+'g_en_c-factors'!Y14)</f>
        <v/>
      </c>
      <c r="D28" s="31" t="str">
        <f>IF(MGD!$L19="","",O14*MGD!$M19+'g_en_c-factors'!Z14)</f>
        <v/>
      </c>
      <c r="E28" s="35" t="str">
        <f>IF(MGD!$L19="","",P14*MGD!$M19+'g_en_c-factors'!AA14)</f>
        <v/>
      </c>
      <c r="F28" s="31" t="str">
        <f>IF(MGD!$L19="","",Q14*MGD!$M19+'g_en_c-factors'!AB14)</f>
        <v/>
      </c>
      <c r="G28" s="35" t="str">
        <f>IF(MGD!$L19="","",R14*MGD!$M19+'g_en_c-factors'!AC14)</f>
        <v/>
      </c>
      <c r="H28" s="31" t="str">
        <f>IF(MGD!$L19="","",S14*MGD!$M19+'g_en_c-factors'!AD14)</f>
        <v/>
      </c>
      <c r="I28" s="35" t="str">
        <f>IF(MGD!$L19="","",T14*MGD!$M19+'g_en_c-factors'!AE14)</f>
        <v/>
      </c>
      <c r="J28" s="31" t="str">
        <f>IF(MGD!$L19="","",U14*MGD!$M19+'g_en_c-factors'!AF14)</f>
        <v/>
      </c>
      <c r="K28" s="35" t="str">
        <f>IF(MGD!$L19="","",V14*MGD!$M19+'g_en_c-factors'!AG14)</f>
        <v/>
      </c>
      <c r="L28" s="31" t="str">
        <f>IF(MGD!$L19="","",W14*MGD!$M19+'g_en_c-factors'!AH14)</f>
        <v/>
      </c>
      <c r="M28" s="35" t="str">
        <f>IF(MGD!$L19="","",X14*MGD!$M19+'g_en_c-factors'!AI14)</f>
        <v/>
      </c>
    </row>
    <row r="29" spans="1:31" ht="10.5" customHeight="1" x14ac:dyDescent="0.2">
      <c r="A29" s="37"/>
      <c r="B29" s="26">
        <v>10</v>
      </c>
      <c r="C29" s="36" t="str">
        <f>IF(MGD!$L20="","",N15*MGD!$M20+'g_en_c-factors'!Y15)</f>
        <v/>
      </c>
      <c r="D29" s="33" t="str">
        <f>IF(MGD!$L20="","",O15*MGD!$M20+'g_en_c-factors'!Z15)</f>
        <v/>
      </c>
      <c r="E29" s="36" t="str">
        <f>IF(MGD!$L20="","",P15*MGD!$M20+'g_en_c-factors'!AA15)</f>
        <v/>
      </c>
      <c r="F29" s="33" t="str">
        <f>IF(MGD!$L20="","",Q15*MGD!$M20+'g_en_c-factors'!AB15)</f>
        <v/>
      </c>
      <c r="G29" s="36" t="str">
        <f>IF(MGD!$L20="","",R15*MGD!$M20+'g_en_c-factors'!AC15)</f>
        <v/>
      </c>
      <c r="H29" s="33" t="str">
        <f>IF(MGD!$L20="","",S15*MGD!$M20+'g_en_c-factors'!AD15)</f>
        <v/>
      </c>
      <c r="I29" s="36" t="str">
        <f>IF(MGD!$L20="","",T15*MGD!$M20+'g_en_c-factors'!AE15)</f>
        <v/>
      </c>
      <c r="J29" s="33" t="str">
        <f>IF(MGD!$L20="","",U15*MGD!$M20+'g_en_c-factors'!AF15)</f>
        <v/>
      </c>
      <c r="K29" s="36" t="str">
        <f>IF(MGD!$L20="","",V15*MGD!$M20+'g_en_c-factors'!AG15)</f>
        <v/>
      </c>
      <c r="L29" s="33" t="str">
        <f>IF(MGD!$L20="","",W15*MGD!$M20+'g_en_c-factors'!AH15)</f>
        <v/>
      </c>
      <c r="M29" s="36" t="str">
        <f>IF(MGD!$L20="","",X15*MGD!$M20+'g_en_c-factors'!AI15)</f>
        <v/>
      </c>
      <c r="N29" s="71"/>
    </row>
    <row r="30" spans="1:31" x14ac:dyDescent="0.2">
      <c r="B30" s="34"/>
      <c r="C30" s="31"/>
      <c r="D30" s="31"/>
      <c r="E30" s="31"/>
      <c r="F30" s="31"/>
      <c r="G30" s="31"/>
      <c r="H30" s="31"/>
      <c r="I30" s="31"/>
      <c r="J30" s="70"/>
      <c r="K30" s="70"/>
      <c r="L30" s="70"/>
      <c r="M30" s="70"/>
      <c r="N30" s="153" t="s">
        <v>43</v>
      </c>
      <c r="O30" s="152"/>
      <c r="P30" s="152"/>
      <c r="Q30" s="152"/>
      <c r="R30" s="152"/>
      <c r="S30" s="152"/>
      <c r="T30" s="152"/>
      <c r="U30" s="84"/>
      <c r="V30" s="84"/>
      <c r="W30" s="84"/>
      <c r="X30" s="84"/>
      <c r="Y30" s="152" t="s">
        <v>44</v>
      </c>
      <c r="Z30" s="152"/>
      <c r="AA30" s="152"/>
      <c r="AB30" s="152"/>
      <c r="AC30" s="152"/>
      <c r="AD30" s="152"/>
      <c r="AE30" s="152"/>
    </row>
    <row r="31" spans="1:31" x14ac:dyDescent="0.2">
      <c r="B31" s="154" t="s">
        <v>7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6"/>
    </row>
    <row r="32" spans="1:31" x14ac:dyDescent="0.2">
      <c r="B32" s="115" t="s">
        <v>60</v>
      </c>
      <c r="C32" s="142" t="s">
        <v>10</v>
      </c>
      <c r="D32" s="143"/>
      <c r="E32" s="143"/>
      <c r="F32" s="143"/>
      <c r="G32" s="143"/>
      <c r="H32" s="143"/>
      <c r="I32" s="143"/>
      <c r="J32" s="143"/>
      <c r="K32" s="143"/>
      <c r="L32" s="143"/>
      <c r="M32" s="144"/>
    </row>
    <row r="33" spans="2:35" x14ac:dyDescent="0.2">
      <c r="B33" s="26" t="s">
        <v>11</v>
      </c>
      <c r="C33" s="82">
        <v>0.3</v>
      </c>
      <c r="D33" s="49">
        <v>0.35</v>
      </c>
      <c r="E33" s="50">
        <v>0.4</v>
      </c>
      <c r="F33" s="49">
        <v>0.45</v>
      </c>
      <c r="G33" s="50">
        <v>0.5</v>
      </c>
      <c r="H33" s="49">
        <v>0.55000000000000004</v>
      </c>
      <c r="I33" s="50">
        <v>0.6</v>
      </c>
      <c r="J33" s="83">
        <v>0.65</v>
      </c>
      <c r="K33" s="89">
        <v>0.7</v>
      </c>
      <c r="L33" s="83">
        <v>0.75</v>
      </c>
      <c r="M33" s="90">
        <v>0.8</v>
      </c>
      <c r="N33" s="69">
        <v>1</v>
      </c>
      <c r="O33" s="69">
        <v>2</v>
      </c>
      <c r="P33" s="69">
        <v>3</v>
      </c>
      <c r="Q33" s="69">
        <v>4</v>
      </c>
      <c r="R33" s="69">
        <v>5</v>
      </c>
      <c r="S33" s="69">
        <v>6</v>
      </c>
      <c r="T33" s="69">
        <v>7</v>
      </c>
      <c r="U33" s="69">
        <v>8</v>
      </c>
      <c r="V33" s="69">
        <v>9</v>
      </c>
      <c r="W33" s="69">
        <v>10</v>
      </c>
      <c r="X33" s="69">
        <v>11</v>
      </c>
      <c r="Y33" s="69">
        <v>1</v>
      </c>
      <c r="Z33" s="69">
        <v>2</v>
      </c>
      <c r="AA33" s="69">
        <v>3</v>
      </c>
      <c r="AB33" s="69">
        <v>4</v>
      </c>
      <c r="AC33" s="69">
        <v>5</v>
      </c>
      <c r="AD33" s="69">
        <v>6</v>
      </c>
      <c r="AE33" s="69">
        <v>7</v>
      </c>
      <c r="AF33" s="69">
        <v>8</v>
      </c>
      <c r="AG33" s="69">
        <v>9</v>
      </c>
      <c r="AH33" s="69">
        <v>10</v>
      </c>
      <c r="AI33" s="69">
        <v>11</v>
      </c>
    </row>
    <row r="34" spans="2:35" x14ac:dyDescent="0.2">
      <c r="B34" s="29">
        <v>2</v>
      </c>
      <c r="C34" s="30">
        <v>0.88500000000000001</v>
      </c>
      <c r="D34" s="35">
        <v>0.89100000000000001</v>
      </c>
      <c r="E34" s="31">
        <v>0.9</v>
      </c>
      <c r="F34" s="35">
        <v>0.90500000000000003</v>
      </c>
      <c r="G34" s="31">
        <v>0.91</v>
      </c>
      <c r="H34" s="35">
        <v>0.91400000000000003</v>
      </c>
      <c r="I34" s="31">
        <v>0.91900000000000004</v>
      </c>
      <c r="J34" s="91">
        <v>0.92300000000000004</v>
      </c>
      <c r="K34" s="85">
        <v>0.92800000000000005</v>
      </c>
      <c r="L34" s="91">
        <v>0.93200000000000005</v>
      </c>
      <c r="M34" s="86">
        <v>0.93600000000000005</v>
      </c>
      <c r="N34" s="69">
        <f t="shared" ref="N34:N43" si="38">(D34-C34)/(D$33-C$33)</f>
        <v>0.12000000000000013</v>
      </c>
      <c r="O34" s="69">
        <f t="shared" ref="O34:O43" si="39">(E34-D34)/(E$33-D$33)</f>
        <v>0.18</v>
      </c>
      <c r="P34" s="69">
        <f t="shared" ref="P34:P43" si="40">(F34-E34)/(F$33-E$33)</f>
        <v>0.10000000000000012</v>
      </c>
      <c r="Q34" s="69">
        <f t="shared" ref="Q34:Q43" si="41">(G34-F34)/(G$33-F$33)</f>
        <v>0.10000000000000012</v>
      </c>
      <c r="R34" s="69">
        <f t="shared" ref="R34:R43" si="42">(H34-G34)/(H$33-G$33)</f>
        <v>0.08</v>
      </c>
      <c r="S34" s="69">
        <f t="shared" ref="S34:S43" si="43">(I34-H34)/(I$33-H$33)</f>
        <v>0.10000000000000023</v>
      </c>
      <c r="T34" s="69">
        <f t="shared" ref="T34:T43" si="44">(J34-I34)/(J$33-I$33)</f>
        <v>0.08</v>
      </c>
      <c r="U34" s="69">
        <f t="shared" ref="U34:U43" si="45">(K34-J34)/(K$33-J$33)</f>
        <v>0.10000000000000023</v>
      </c>
      <c r="V34" s="69">
        <f t="shared" ref="V34:V43" si="46">(L34-K34)/(L$33-K$33)</f>
        <v>0.08</v>
      </c>
      <c r="W34" s="69">
        <f t="shared" ref="W34:X43" si="47">($M34-$L34)/($M$33-$L$33)</f>
        <v>0.08</v>
      </c>
      <c r="X34" s="69">
        <f t="shared" si="47"/>
        <v>0.08</v>
      </c>
      <c r="Y34" s="69">
        <f>C34-N34*C$33</f>
        <v>0.84899999999999998</v>
      </c>
      <c r="Z34" s="69">
        <f t="shared" ref="Z34:Z43" si="48">D34-O34*D$6</f>
        <v>0.82800000000000007</v>
      </c>
      <c r="AA34" s="69">
        <f t="shared" ref="AA34:AA43" si="49">E34-P34*E$6</f>
        <v>0.86</v>
      </c>
      <c r="AB34" s="69">
        <f t="shared" ref="AB34:AB43" si="50">F34-Q34*F$6</f>
        <v>0.86</v>
      </c>
      <c r="AC34" s="69">
        <f t="shared" ref="AC34:AC43" si="51">G34-R34*G$6</f>
        <v>0.87</v>
      </c>
      <c r="AD34" s="69">
        <f t="shared" ref="AD34:AD43" si="52">H34-S34*H$6</f>
        <v>0.85899999999999987</v>
      </c>
      <c r="AE34" s="69">
        <f t="shared" ref="AE34:AE43" si="53">I34-T34*I$6</f>
        <v>0.871</v>
      </c>
      <c r="AF34" s="69">
        <f t="shared" ref="AF34:AF43" si="54">J34-U34*J$6</f>
        <v>0.85799999999999987</v>
      </c>
      <c r="AG34" s="69">
        <f t="shared" ref="AG34:AG43" si="55">K34-V34*K$6</f>
        <v>0.87200000000000011</v>
      </c>
      <c r="AH34" s="69">
        <f t="shared" ref="AH34:AH43" si="56">L34-W34*L$6</f>
        <v>0.87200000000000011</v>
      </c>
      <c r="AI34" s="69">
        <f t="shared" ref="AI34:AI43" si="57">M34-X34*M$6</f>
        <v>0.87200000000000011</v>
      </c>
    </row>
    <row r="35" spans="2:35" x14ac:dyDescent="0.2">
      <c r="B35" s="29">
        <v>3</v>
      </c>
      <c r="C35" s="30">
        <v>0.92500000000000004</v>
      </c>
      <c r="D35" s="35">
        <v>0.92900000000000005</v>
      </c>
      <c r="E35" s="31">
        <v>0.93100000000000005</v>
      </c>
      <c r="F35" s="35">
        <v>0.93300000000000005</v>
      </c>
      <c r="G35" s="31">
        <v>0.93700000000000006</v>
      </c>
      <c r="H35" s="35">
        <v>0.94</v>
      </c>
      <c r="I35" s="31">
        <v>0.94099999999999995</v>
      </c>
      <c r="J35" s="91">
        <v>0.94699999999999995</v>
      </c>
      <c r="K35" s="85">
        <v>0.95</v>
      </c>
      <c r="L35" s="91">
        <v>0.95299999999999996</v>
      </c>
      <c r="M35" s="86">
        <v>0.95599999999999996</v>
      </c>
      <c r="N35" s="69">
        <f t="shared" si="38"/>
        <v>8.0000000000000085E-2</v>
      </c>
      <c r="O35" s="69">
        <f t="shared" si="39"/>
        <v>0.04</v>
      </c>
      <c r="P35" s="69">
        <f t="shared" si="40"/>
        <v>4.0000000000000042E-2</v>
      </c>
      <c r="Q35" s="69">
        <f t="shared" si="41"/>
        <v>8.0000000000000085E-2</v>
      </c>
      <c r="R35" s="69">
        <f t="shared" si="42"/>
        <v>5.9999999999997777E-2</v>
      </c>
      <c r="S35" s="69">
        <f t="shared" si="43"/>
        <v>2.0000000000000046E-2</v>
      </c>
      <c r="T35" s="69">
        <f t="shared" si="44"/>
        <v>0.12</v>
      </c>
      <c r="U35" s="69">
        <f t="shared" si="45"/>
        <v>6.0000000000000137E-2</v>
      </c>
      <c r="V35" s="69">
        <f t="shared" si="46"/>
        <v>0.06</v>
      </c>
      <c r="W35" s="69">
        <f t="shared" si="47"/>
        <v>0.06</v>
      </c>
      <c r="X35" s="69">
        <f t="shared" si="47"/>
        <v>0.06</v>
      </c>
      <c r="Y35" s="69">
        <f t="shared" ref="Y35:Y43" si="58">C35-N35*C$6</f>
        <v>0.90100000000000002</v>
      </c>
      <c r="Z35" s="69">
        <f t="shared" si="48"/>
        <v>0.91500000000000004</v>
      </c>
      <c r="AA35" s="69">
        <f t="shared" si="49"/>
        <v>0.91500000000000004</v>
      </c>
      <c r="AB35" s="69">
        <f t="shared" si="50"/>
        <v>0.89700000000000002</v>
      </c>
      <c r="AC35" s="69">
        <f t="shared" si="51"/>
        <v>0.90700000000000114</v>
      </c>
      <c r="AD35" s="69">
        <f t="shared" si="52"/>
        <v>0.92899999999999994</v>
      </c>
      <c r="AE35" s="69">
        <f t="shared" si="53"/>
        <v>0.86899999999999999</v>
      </c>
      <c r="AF35" s="69">
        <f t="shared" si="54"/>
        <v>0.90799999999999992</v>
      </c>
      <c r="AG35" s="69">
        <f t="shared" si="55"/>
        <v>0.90799999999999992</v>
      </c>
      <c r="AH35" s="69">
        <f t="shared" si="56"/>
        <v>0.90799999999999992</v>
      </c>
      <c r="AI35" s="69">
        <f t="shared" si="57"/>
        <v>0.90799999999999992</v>
      </c>
    </row>
    <row r="36" spans="2:35" x14ac:dyDescent="0.2">
      <c r="B36" s="29">
        <v>4</v>
      </c>
      <c r="C36" s="30">
        <v>1</v>
      </c>
      <c r="D36" s="35">
        <v>1</v>
      </c>
      <c r="E36" s="31">
        <v>1</v>
      </c>
      <c r="F36" s="35">
        <v>1</v>
      </c>
      <c r="G36" s="31">
        <v>1</v>
      </c>
      <c r="H36" s="35">
        <v>1</v>
      </c>
      <c r="I36" s="31">
        <v>1</v>
      </c>
      <c r="J36" s="91">
        <v>1</v>
      </c>
      <c r="K36" s="85">
        <v>1</v>
      </c>
      <c r="L36" s="91">
        <v>1</v>
      </c>
      <c r="M36" s="86">
        <v>1</v>
      </c>
      <c r="N36" s="69">
        <f t="shared" si="38"/>
        <v>0</v>
      </c>
      <c r="O36" s="69">
        <f t="shared" si="39"/>
        <v>0</v>
      </c>
      <c r="P36" s="69">
        <f t="shared" si="40"/>
        <v>0</v>
      </c>
      <c r="Q36" s="69">
        <f t="shared" si="41"/>
        <v>0</v>
      </c>
      <c r="R36" s="69">
        <f t="shared" si="42"/>
        <v>0</v>
      </c>
      <c r="S36" s="69">
        <f t="shared" si="43"/>
        <v>0</v>
      </c>
      <c r="T36" s="69">
        <f t="shared" si="44"/>
        <v>0</v>
      </c>
      <c r="U36" s="69">
        <f t="shared" si="45"/>
        <v>0</v>
      </c>
      <c r="V36" s="69">
        <f t="shared" si="46"/>
        <v>0</v>
      </c>
      <c r="W36" s="69">
        <f t="shared" si="47"/>
        <v>0</v>
      </c>
      <c r="X36" s="69">
        <f t="shared" si="47"/>
        <v>0</v>
      </c>
      <c r="Y36" s="69">
        <f t="shared" si="58"/>
        <v>1</v>
      </c>
      <c r="Z36" s="69">
        <f t="shared" si="48"/>
        <v>1</v>
      </c>
      <c r="AA36" s="69">
        <f t="shared" si="49"/>
        <v>1</v>
      </c>
      <c r="AB36" s="69">
        <f t="shared" si="50"/>
        <v>1</v>
      </c>
      <c r="AC36" s="69">
        <f t="shared" si="51"/>
        <v>1</v>
      </c>
      <c r="AD36" s="69">
        <f t="shared" si="52"/>
        <v>1</v>
      </c>
      <c r="AE36" s="69">
        <f t="shared" si="53"/>
        <v>1</v>
      </c>
      <c r="AF36" s="69">
        <f t="shared" si="54"/>
        <v>1</v>
      </c>
      <c r="AG36" s="69">
        <f t="shared" si="55"/>
        <v>1</v>
      </c>
      <c r="AH36" s="69">
        <f t="shared" si="56"/>
        <v>1</v>
      </c>
      <c r="AI36" s="69">
        <f t="shared" si="57"/>
        <v>1</v>
      </c>
    </row>
    <row r="37" spans="2:35" x14ac:dyDescent="0.2">
      <c r="B37" s="29">
        <v>5</v>
      </c>
      <c r="C37" s="30">
        <v>1.0860000000000001</v>
      </c>
      <c r="D37" s="35">
        <v>1.0820000000000001</v>
      </c>
      <c r="E37" s="31">
        <v>1.081</v>
      </c>
      <c r="F37" s="35">
        <v>1.0780000000000001</v>
      </c>
      <c r="G37" s="31">
        <v>1.075</v>
      </c>
      <c r="H37" s="35">
        <v>1.071</v>
      </c>
      <c r="I37" s="31">
        <v>1.069</v>
      </c>
      <c r="J37" s="91">
        <v>1.0640000000000001</v>
      </c>
      <c r="K37" s="85">
        <v>1.06</v>
      </c>
      <c r="L37" s="91">
        <v>1.0569999999999999</v>
      </c>
      <c r="M37" s="86">
        <v>1.0529999999999999</v>
      </c>
      <c r="N37" s="69">
        <f t="shared" si="38"/>
        <v>-8.0000000000000085E-2</v>
      </c>
      <c r="O37" s="69">
        <f t="shared" si="39"/>
        <v>-2.0000000000002221E-2</v>
      </c>
      <c r="P37" s="69">
        <f t="shared" si="40"/>
        <v>-5.9999999999997847E-2</v>
      </c>
      <c r="Q37" s="69">
        <f t="shared" si="41"/>
        <v>-6.0000000000002288E-2</v>
      </c>
      <c r="R37" s="69">
        <f t="shared" si="42"/>
        <v>-0.08</v>
      </c>
      <c r="S37" s="69">
        <f t="shared" si="43"/>
        <v>-4.0000000000000091E-2</v>
      </c>
      <c r="T37" s="69">
        <f t="shared" si="44"/>
        <v>-9.9999999999997785E-2</v>
      </c>
      <c r="U37" s="69">
        <f t="shared" si="45"/>
        <v>-8.0000000000000182E-2</v>
      </c>
      <c r="V37" s="69">
        <f t="shared" si="46"/>
        <v>-6.0000000000002218E-2</v>
      </c>
      <c r="W37" s="69">
        <f t="shared" si="47"/>
        <v>-0.08</v>
      </c>
      <c r="X37" s="69">
        <f t="shared" si="47"/>
        <v>-0.08</v>
      </c>
      <c r="Y37" s="69">
        <f t="shared" si="58"/>
        <v>1.1100000000000001</v>
      </c>
      <c r="Z37" s="69">
        <f t="shared" si="48"/>
        <v>1.0890000000000009</v>
      </c>
      <c r="AA37" s="69">
        <f t="shared" si="49"/>
        <v>1.1049999999999991</v>
      </c>
      <c r="AB37" s="69">
        <f t="shared" si="50"/>
        <v>1.1050000000000011</v>
      </c>
      <c r="AC37" s="69">
        <f t="shared" si="51"/>
        <v>1.115</v>
      </c>
      <c r="AD37" s="69">
        <f t="shared" si="52"/>
        <v>1.093</v>
      </c>
      <c r="AE37" s="69">
        <f t="shared" si="53"/>
        <v>1.1289999999999987</v>
      </c>
      <c r="AF37" s="69">
        <f t="shared" si="54"/>
        <v>1.1160000000000001</v>
      </c>
      <c r="AG37" s="69">
        <f t="shared" si="55"/>
        <v>1.1020000000000016</v>
      </c>
      <c r="AH37" s="69">
        <f t="shared" si="56"/>
        <v>1.117</v>
      </c>
      <c r="AI37" s="69">
        <f t="shared" si="57"/>
        <v>1.117</v>
      </c>
    </row>
    <row r="38" spans="2:35" x14ac:dyDescent="0.2">
      <c r="B38" s="29">
        <v>6</v>
      </c>
      <c r="C38" s="30">
        <v>1.1639999999999999</v>
      </c>
      <c r="D38" s="35">
        <v>1.1599999999999999</v>
      </c>
      <c r="E38" s="31">
        <v>1.151</v>
      </c>
      <c r="F38" s="35">
        <v>1.1499999999999999</v>
      </c>
      <c r="G38" s="31">
        <v>1.1439999999999999</v>
      </c>
      <c r="H38" s="35">
        <v>1.139</v>
      </c>
      <c r="I38" s="31">
        <v>1.1339999999999999</v>
      </c>
      <c r="J38" s="91">
        <v>1.1240000000000001</v>
      </c>
      <c r="K38" s="85">
        <v>1.117</v>
      </c>
      <c r="L38" s="91">
        <v>1.111</v>
      </c>
      <c r="M38" s="86">
        <v>1.103</v>
      </c>
      <c r="N38" s="69">
        <f t="shared" si="38"/>
        <v>-8.0000000000000085E-2</v>
      </c>
      <c r="O38" s="69">
        <f t="shared" si="39"/>
        <v>-0.17999999999999777</v>
      </c>
      <c r="P38" s="69">
        <f t="shared" si="40"/>
        <v>-2.0000000000002242E-2</v>
      </c>
      <c r="Q38" s="69">
        <f t="shared" si="41"/>
        <v>-0.12000000000000013</v>
      </c>
      <c r="R38" s="69">
        <f t="shared" si="42"/>
        <v>-9.9999999999997785E-2</v>
      </c>
      <c r="S38" s="69">
        <f t="shared" si="43"/>
        <v>-0.10000000000000245</v>
      </c>
      <c r="T38" s="69">
        <f t="shared" si="44"/>
        <v>-0.19999999999999557</v>
      </c>
      <c r="U38" s="69">
        <f t="shared" si="45"/>
        <v>-0.14000000000000254</v>
      </c>
      <c r="V38" s="69">
        <f t="shared" si="46"/>
        <v>-0.12</v>
      </c>
      <c r="W38" s="69">
        <f t="shared" si="47"/>
        <v>-0.16</v>
      </c>
      <c r="X38" s="69">
        <f t="shared" si="47"/>
        <v>-0.16</v>
      </c>
      <c r="Y38" s="69">
        <f t="shared" si="58"/>
        <v>1.1879999999999999</v>
      </c>
      <c r="Z38" s="69">
        <f t="shared" si="48"/>
        <v>1.2229999999999992</v>
      </c>
      <c r="AA38" s="69">
        <f t="shared" si="49"/>
        <v>1.1590000000000009</v>
      </c>
      <c r="AB38" s="69">
        <f t="shared" si="50"/>
        <v>1.204</v>
      </c>
      <c r="AC38" s="69">
        <f t="shared" si="51"/>
        <v>1.1939999999999988</v>
      </c>
      <c r="AD38" s="69">
        <f t="shared" si="52"/>
        <v>1.1940000000000013</v>
      </c>
      <c r="AE38" s="69">
        <f t="shared" si="53"/>
        <v>1.2539999999999973</v>
      </c>
      <c r="AF38" s="69">
        <f t="shared" si="54"/>
        <v>1.2150000000000019</v>
      </c>
      <c r="AG38" s="69">
        <f t="shared" si="55"/>
        <v>1.2010000000000001</v>
      </c>
      <c r="AH38" s="69">
        <f t="shared" si="56"/>
        <v>1.2309999999999999</v>
      </c>
      <c r="AI38" s="69">
        <f t="shared" si="57"/>
        <v>1.2309999999999999</v>
      </c>
    </row>
    <row r="39" spans="2:35" x14ac:dyDescent="0.2">
      <c r="B39" s="29">
        <v>7</v>
      </c>
      <c r="C39" s="30">
        <v>1.232</v>
      </c>
      <c r="D39" s="35">
        <v>1.2250000000000001</v>
      </c>
      <c r="E39" s="31">
        <v>1.214</v>
      </c>
      <c r="F39" s="35">
        <v>1.208</v>
      </c>
      <c r="G39" s="31">
        <v>1.204</v>
      </c>
      <c r="H39" s="35">
        <v>1.196</v>
      </c>
      <c r="I39" s="31">
        <v>1.1879999999999999</v>
      </c>
      <c r="J39" s="91">
        <v>1.1759999999999999</v>
      </c>
      <c r="K39" s="85">
        <v>1.167</v>
      </c>
      <c r="L39" s="91">
        <v>1.157</v>
      </c>
      <c r="M39" s="86">
        <v>1.147</v>
      </c>
      <c r="N39" s="69">
        <f t="shared" si="38"/>
        <v>-0.13999999999999793</v>
      </c>
      <c r="O39" s="69">
        <f t="shared" si="39"/>
        <v>-0.22000000000000222</v>
      </c>
      <c r="P39" s="69">
        <f t="shared" si="40"/>
        <v>-0.12000000000000013</v>
      </c>
      <c r="Q39" s="69">
        <f t="shared" si="41"/>
        <v>-8.0000000000000085E-2</v>
      </c>
      <c r="R39" s="69">
        <f t="shared" si="42"/>
        <v>-0.16</v>
      </c>
      <c r="S39" s="69">
        <f t="shared" si="43"/>
        <v>-0.16000000000000036</v>
      </c>
      <c r="T39" s="69">
        <f t="shared" si="44"/>
        <v>-0.24</v>
      </c>
      <c r="U39" s="69">
        <f t="shared" si="45"/>
        <v>-0.17999999999999819</v>
      </c>
      <c r="V39" s="69">
        <f t="shared" si="46"/>
        <v>-0.2</v>
      </c>
      <c r="W39" s="69">
        <f t="shared" si="47"/>
        <v>-0.2</v>
      </c>
      <c r="X39" s="69">
        <f t="shared" si="47"/>
        <v>-0.2</v>
      </c>
      <c r="Y39" s="69">
        <f t="shared" si="58"/>
        <v>1.2739999999999994</v>
      </c>
      <c r="Z39" s="69">
        <f t="shared" si="48"/>
        <v>1.3020000000000009</v>
      </c>
      <c r="AA39" s="69">
        <f t="shared" si="49"/>
        <v>1.262</v>
      </c>
      <c r="AB39" s="69">
        <f t="shared" si="50"/>
        <v>1.244</v>
      </c>
      <c r="AC39" s="69">
        <f t="shared" si="51"/>
        <v>1.284</v>
      </c>
      <c r="AD39" s="69">
        <f t="shared" si="52"/>
        <v>1.2840000000000003</v>
      </c>
      <c r="AE39" s="69">
        <f t="shared" si="53"/>
        <v>1.3319999999999999</v>
      </c>
      <c r="AF39" s="69">
        <f t="shared" si="54"/>
        <v>1.2929999999999988</v>
      </c>
      <c r="AG39" s="69">
        <f t="shared" si="55"/>
        <v>1.3069999999999999</v>
      </c>
      <c r="AH39" s="69">
        <f t="shared" si="56"/>
        <v>1.3069999999999999</v>
      </c>
      <c r="AI39" s="69">
        <f t="shared" si="57"/>
        <v>1.3069999999999999</v>
      </c>
    </row>
    <row r="40" spans="2:35" x14ac:dyDescent="0.2">
      <c r="B40" s="29">
        <v>8</v>
      </c>
      <c r="C40" s="30">
        <v>1.2749999999999999</v>
      </c>
      <c r="D40" s="35">
        <v>1.2649999999999999</v>
      </c>
      <c r="E40" s="31">
        <v>1.2569999999999999</v>
      </c>
      <c r="F40" s="35">
        <v>1.254</v>
      </c>
      <c r="G40" s="31">
        <v>1.2470000000000001</v>
      </c>
      <c r="H40" s="35">
        <v>1.2370000000000001</v>
      </c>
      <c r="I40" s="31">
        <v>1.2270000000000001</v>
      </c>
      <c r="J40" s="91">
        <v>1.2130000000000001</v>
      </c>
      <c r="K40" s="85">
        <v>1.202</v>
      </c>
      <c r="L40" s="91">
        <v>1.1910000000000001</v>
      </c>
      <c r="M40" s="86">
        <v>1.179</v>
      </c>
      <c r="N40" s="69">
        <f t="shared" si="38"/>
        <v>-0.20000000000000023</v>
      </c>
      <c r="O40" s="69">
        <f t="shared" si="39"/>
        <v>-0.16</v>
      </c>
      <c r="P40" s="69">
        <f t="shared" si="40"/>
        <v>-5.9999999999997847E-2</v>
      </c>
      <c r="Q40" s="69">
        <f t="shared" si="41"/>
        <v>-0.13999999999999793</v>
      </c>
      <c r="R40" s="69">
        <f t="shared" si="42"/>
        <v>-0.2</v>
      </c>
      <c r="S40" s="69">
        <f t="shared" si="43"/>
        <v>-0.20000000000000046</v>
      </c>
      <c r="T40" s="69">
        <f t="shared" si="44"/>
        <v>-0.28000000000000003</v>
      </c>
      <c r="U40" s="69">
        <f t="shared" si="45"/>
        <v>-0.22000000000000272</v>
      </c>
      <c r="V40" s="69">
        <f t="shared" si="46"/>
        <v>-0.21999999999999778</v>
      </c>
      <c r="W40" s="69">
        <f t="shared" si="47"/>
        <v>-0.24</v>
      </c>
      <c r="X40" s="69">
        <f t="shared" si="47"/>
        <v>-0.24</v>
      </c>
      <c r="Y40" s="69">
        <f t="shared" si="58"/>
        <v>1.335</v>
      </c>
      <c r="Z40" s="69">
        <f t="shared" si="48"/>
        <v>1.321</v>
      </c>
      <c r="AA40" s="69">
        <f t="shared" si="49"/>
        <v>1.280999999999999</v>
      </c>
      <c r="AB40" s="69">
        <f t="shared" si="50"/>
        <v>1.3169999999999991</v>
      </c>
      <c r="AC40" s="69">
        <f t="shared" si="51"/>
        <v>1.3470000000000002</v>
      </c>
      <c r="AD40" s="69">
        <f t="shared" si="52"/>
        <v>1.3470000000000004</v>
      </c>
      <c r="AE40" s="69">
        <f t="shared" si="53"/>
        <v>1.395</v>
      </c>
      <c r="AF40" s="69">
        <f t="shared" si="54"/>
        <v>1.3560000000000019</v>
      </c>
      <c r="AG40" s="69">
        <f t="shared" si="55"/>
        <v>1.3559999999999983</v>
      </c>
      <c r="AH40" s="69">
        <f t="shared" si="56"/>
        <v>1.371</v>
      </c>
      <c r="AI40" s="69">
        <f t="shared" si="57"/>
        <v>1.371</v>
      </c>
    </row>
    <row r="41" spans="2:35" x14ac:dyDescent="0.2">
      <c r="B41" s="29">
        <v>9</v>
      </c>
      <c r="C41" s="30">
        <v>1.2989999999999999</v>
      </c>
      <c r="D41" s="35">
        <v>1.292</v>
      </c>
      <c r="E41" s="31">
        <v>1.282</v>
      </c>
      <c r="F41" s="35">
        <v>1.2749999999999999</v>
      </c>
      <c r="G41" s="31">
        <v>1.27</v>
      </c>
      <c r="H41" s="35">
        <v>1.26</v>
      </c>
      <c r="I41" s="31">
        <v>1.2490000000000001</v>
      </c>
      <c r="J41" s="91">
        <v>1.236</v>
      </c>
      <c r="K41" s="85">
        <v>1.2250000000000001</v>
      </c>
      <c r="L41" s="91">
        <v>1.2130000000000001</v>
      </c>
      <c r="M41" s="86">
        <v>1.2</v>
      </c>
      <c r="N41" s="69">
        <f t="shared" si="38"/>
        <v>-0.13999999999999793</v>
      </c>
      <c r="O41" s="69">
        <f t="shared" si="39"/>
        <v>-0.2</v>
      </c>
      <c r="P41" s="69">
        <f t="shared" si="40"/>
        <v>-0.14000000000000237</v>
      </c>
      <c r="Q41" s="69">
        <f t="shared" si="41"/>
        <v>-9.9999999999997896E-2</v>
      </c>
      <c r="R41" s="69">
        <f t="shared" si="42"/>
        <v>-0.2</v>
      </c>
      <c r="S41" s="69">
        <f t="shared" si="43"/>
        <v>-0.21999999999999828</v>
      </c>
      <c r="T41" s="69">
        <f t="shared" si="44"/>
        <v>-0.26000000000000223</v>
      </c>
      <c r="U41" s="69">
        <f t="shared" si="45"/>
        <v>-0.21999999999999828</v>
      </c>
      <c r="V41" s="69">
        <f t="shared" si="46"/>
        <v>-0.24</v>
      </c>
      <c r="W41" s="69">
        <f t="shared" si="47"/>
        <v>-0.26000000000000223</v>
      </c>
      <c r="X41" s="69">
        <f t="shared" si="47"/>
        <v>-0.26000000000000223</v>
      </c>
      <c r="Y41" s="69">
        <f t="shared" si="58"/>
        <v>1.3409999999999993</v>
      </c>
      <c r="Z41" s="69">
        <f t="shared" si="48"/>
        <v>1.3620000000000001</v>
      </c>
      <c r="AA41" s="69">
        <f t="shared" si="49"/>
        <v>1.338000000000001</v>
      </c>
      <c r="AB41" s="69">
        <f t="shared" si="50"/>
        <v>1.319999999999999</v>
      </c>
      <c r="AC41" s="69">
        <f t="shared" si="51"/>
        <v>1.37</v>
      </c>
      <c r="AD41" s="69">
        <f t="shared" si="52"/>
        <v>1.3809999999999991</v>
      </c>
      <c r="AE41" s="69">
        <f t="shared" si="53"/>
        <v>1.4050000000000014</v>
      </c>
      <c r="AF41" s="69">
        <f t="shared" si="54"/>
        <v>1.3789999999999989</v>
      </c>
      <c r="AG41" s="69">
        <f t="shared" si="55"/>
        <v>1.393</v>
      </c>
      <c r="AH41" s="69">
        <f t="shared" si="56"/>
        <v>1.4080000000000017</v>
      </c>
      <c r="AI41" s="69">
        <f t="shared" si="57"/>
        <v>1.4080000000000017</v>
      </c>
    </row>
    <row r="42" spans="2:35" x14ac:dyDescent="0.2">
      <c r="B42" s="29">
        <v>10</v>
      </c>
      <c r="C42" s="30">
        <v>1.3069999999999999</v>
      </c>
      <c r="D42" s="35">
        <v>1.298</v>
      </c>
      <c r="E42" s="31">
        <v>1.29</v>
      </c>
      <c r="F42" s="35">
        <v>1.286</v>
      </c>
      <c r="G42" s="31">
        <v>1.2829999999999999</v>
      </c>
      <c r="H42" s="35">
        <v>1.272</v>
      </c>
      <c r="I42" s="31">
        <v>1.2609999999999999</v>
      </c>
      <c r="J42" s="91">
        <v>1.248</v>
      </c>
      <c r="K42" s="85">
        <v>1.236</v>
      </c>
      <c r="L42" s="91">
        <v>1.224</v>
      </c>
      <c r="M42" s="86">
        <v>1.2110000000000001</v>
      </c>
      <c r="N42" s="69">
        <f t="shared" si="38"/>
        <v>-0.17999999999999797</v>
      </c>
      <c r="O42" s="69">
        <f t="shared" si="39"/>
        <v>-0.16</v>
      </c>
      <c r="P42" s="69">
        <f t="shared" si="40"/>
        <v>-8.0000000000000085E-2</v>
      </c>
      <c r="Q42" s="69">
        <f t="shared" si="41"/>
        <v>-6.0000000000002288E-2</v>
      </c>
      <c r="R42" s="69">
        <f t="shared" si="42"/>
        <v>-0.21999999999999778</v>
      </c>
      <c r="S42" s="69">
        <f t="shared" si="43"/>
        <v>-0.22000000000000272</v>
      </c>
      <c r="T42" s="69">
        <f t="shared" si="44"/>
        <v>-0.25999999999999779</v>
      </c>
      <c r="U42" s="69">
        <f t="shared" si="45"/>
        <v>-0.24000000000000055</v>
      </c>
      <c r="V42" s="69">
        <f t="shared" si="46"/>
        <v>-0.24</v>
      </c>
      <c r="W42" s="69">
        <f t="shared" si="47"/>
        <v>-0.25999999999999779</v>
      </c>
      <c r="X42" s="69">
        <f t="shared" si="47"/>
        <v>-0.25999999999999779</v>
      </c>
      <c r="Y42" s="69">
        <f t="shared" si="58"/>
        <v>1.3609999999999993</v>
      </c>
      <c r="Z42" s="69">
        <f t="shared" si="48"/>
        <v>1.3540000000000001</v>
      </c>
      <c r="AA42" s="69">
        <f t="shared" si="49"/>
        <v>1.3220000000000001</v>
      </c>
      <c r="AB42" s="69">
        <f t="shared" si="50"/>
        <v>1.3130000000000011</v>
      </c>
      <c r="AC42" s="69">
        <f t="shared" si="51"/>
        <v>1.3929999999999989</v>
      </c>
      <c r="AD42" s="69">
        <f t="shared" si="52"/>
        <v>1.3930000000000016</v>
      </c>
      <c r="AE42" s="69">
        <f t="shared" si="53"/>
        <v>1.4169999999999985</v>
      </c>
      <c r="AF42" s="69">
        <f t="shared" si="54"/>
        <v>1.4040000000000004</v>
      </c>
      <c r="AG42" s="69">
        <f t="shared" si="55"/>
        <v>1.4039999999999999</v>
      </c>
      <c r="AH42" s="69">
        <f t="shared" si="56"/>
        <v>1.4189999999999983</v>
      </c>
      <c r="AI42" s="69">
        <f t="shared" si="57"/>
        <v>1.4189999999999983</v>
      </c>
    </row>
    <row r="43" spans="2:35" x14ac:dyDescent="0.2">
      <c r="B43" s="26">
        <v>11</v>
      </c>
      <c r="C43" s="32">
        <v>1.306</v>
      </c>
      <c r="D43" s="36">
        <v>1.3009999999999999</v>
      </c>
      <c r="E43" s="33">
        <v>1.294</v>
      </c>
      <c r="F43" s="36">
        <v>1.2909999999999999</v>
      </c>
      <c r="G43" s="33">
        <v>1.2829999999999999</v>
      </c>
      <c r="H43" s="36">
        <v>1.274</v>
      </c>
      <c r="I43" s="33">
        <v>1.266</v>
      </c>
      <c r="J43" s="92">
        <v>1.2509999999999999</v>
      </c>
      <c r="K43" s="87">
        <v>1.24</v>
      </c>
      <c r="L43" s="92">
        <v>1.228</v>
      </c>
      <c r="M43" s="88">
        <v>1.2150000000000001</v>
      </c>
      <c r="N43" s="69">
        <f t="shared" si="38"/>
        <v>-0.10000000000000234</v>
      </c>
      <c r="O43" s="69">
        <f t="shared" si="39"/>
        <v>-0.13999999999999779</v>
      </c>
      <c r="P43" s="69">
        <f t="shared" si="40"/>
        <v>-6.0000000000002288E-2</v>
      </c>
      <c r="Q43" s="69">
        <f t="shared" si="41"/>
        <v>-0.16000000000000017</v>
      </c>
      <c r="R43" s="69">
        <f t="shared" si="42"/>
        <v>-0.17999999999999777</v>
      </c>
      <c r="S43" s="69">
        <f t="shared" si="43"/>
        <v>-0.16000000000000036</v>
      </c>
      <c r="T43" s="69">
        <f t="shared" si="44"/>
        <v>-0.30000000000000221</v>
      </c>
      <c r="U43" s="69">
        <f t="shared" si="45"/>
        <v>-0.21999999999999828</v>
      </c>
      <c r="V43" s="69">
        <f t="shared" si="46"/>
        <v>-0.24</v>
      </c>
      <c r="W43" s="69">
        <f t="shared" si="47"/>
        <v>-0.25999999999999779</v>
      </c>
      <c r="X43" s="69">
        <f t="shared" si="47"/>
        <v>-0.25999999999999779</v>
      </c>
      <c r="Y43" s="69">
        <f t="shared" si="58"/>
        <v>1.3360000000000007</v>
      </c>
      <c r="Z43" s="69">
        <f t="shared" si="48"/>
        <v>1.3499999999999992</v>
      </c>
      <c r="AA43" s="69">
        <f t="shared" si="49"/>
        <v>1.3180000000000009</v>
      </c>
      <c r="AB43" s="69">
        <f t="shared" si="50"/>
        <v>1.363</v>
      </c>
      <c r="AC43" s="69">
        <f t="shared" si="51"/>
        <v>1.3729999999999989</v>
      </c>
      <c r="AD43" s="69">
        <f t="shared" si="52"/>
        <v>1.3620000000000003</v>
      </c>
      <c r="AE43" s="69">
        <f t="shared" si="53"/>
        <v>1.4460000000000013</v>
      </c>
      <c r="AF43" s="69">
        <f t="shared" si="54"/>
        <v>1.3939999999999988</v>
      </c>
      <c r="AG43" s="69">
        <f t="shared" si="55"/>
        <v>1.4079999999999999</v>
      </c>
      <c r="AH43" s="69">
        <f t="shared" si="56"/>
        <v>1.4229999999999983</v>
      </c>
      <c r="AI43" s="69">
        <f t="shared" si="57"/>
        <v>1.4229999999999983</v>
      </c>
    </row>
    <row r="45" spans="2:35" x14ac:dyDescent="0.2">
      <c r="B45" s="154" t="s">
        <v>46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6"/>
    </row>
    <row r="46" spans="2:35" x14ac:dyDescent="0.2">
      <c r="B46" s="115" t="s">
        <v>60</v>
      </c>
      <c r="C46" s="157" t="s">
        <v>10</v>
      </c>
      <c r="D46" s="158"/>
      <c r="E46" s="158"/>
      <c r="F46" s="158"/>
      <c r="G46" s="158"/>
      <c r="H46" s="158"/>
      <c r="I46" s="158"/>
      <c r="J46" s="158"/>
      <c r="K46" s="158"/>
      <c r="L46" s="158"/>
      <c r="M46" s="159"/>
    </row>
    <row r="47" spans="2:35" x14ac:dyDescent="0.2">
      <c r="B47" s="26" t="s">
        <v>11</v>
      </c>
      <c r="C47" s="26">
        <v>1</v>
      </c>
      <c r="D47" s="49">
        <v>2</v>
      </c>
      <c r="E47" s="27">
        <v>3</v>
      </c>
      <c r="F47" s="49">
        <v>4</v>
      </c>
      <c r="G47" s="27">
        <v>5</v>
      </c>
      <c r="H47" s="49">
        <v>6</v>
      </c>
      <c r="I47" s="28">
        <v>7</v>
      </c>
      <c r="J47" s="93">
        <v>8</v>
      </c>
      <c r="K47" s="94">
        <v>9</v>
      </c>
      <c r="L47" s="95">
        <v>10</v>
      </c>
      <c r="M47" s="96">
        <v>11</v>
      </c>
    </row>
    <row r="48" spans="2:35" x14ac:dyDescent="0.2">
      <c r="B48" s="29">
        <v>2</v>
      </c>
      <c r="C48" s="30" t="str">
        <f>IF(MGD!$L12="","",N34*MGD!$M12+'g_en_c-factors'!Y34)</f>
        <v/>
      </c>
      <c r="D48" s="30" t="str">
        <f>IF(MGD!$L12="","",O34*MGD!$M12+'g_en_c-factors'!Z34)</f>
        <v/>
      </c>
      <c r="E48" s="30" t="str">
        <f>IF(MGD!$L12="","",P34*MGD!$M12+'g_en_c-factors'!AA34)</f>
        <v/>
      </c>
      <c r="F48" s="30" t="str">
        <f>IF(MGD!$L12="","",Q34*MGD!$M12+'g_en_c-factors'!AB34)</f>
        <v/>
      </c>
      <c r="G48" s="30" t="str">
        <f>IF(MGD!$L12="","",R34*MGD!$M12+'g_en_c-factors'!AC34)</f>
        <v/>
      </c>
      <c r="H48" s="30" t="str">
        <f>IF(MGD!$L12="","",S34*MGD!$M12+'g_en_c-factors'!AD34)</f>
        <v/>
      </c>
      <c r="I48" s="35" t="str">
        <f>IF(MGD!$L12="","",T34*MGD!$M12+'g_en_c-factors'!AE34)</f>
        <v/>
      </c>
      <c r="J48" s="35" t="str">
        <f>IF(MGD!$L12="","",U34*MGD!$M12+'g_en_c-factors'!AF34)</f>
        <v/>
      </c>
      <c r="K48" s="35" t="str">
        <f>IF(MGD!$L12="","",V34*MGD!$M12+'g_en_c-factors'!AG34)</f>
        <v/>
      </c>
      <c r="L48" s="35" t="str">
        <f>IF(MGD!$L12="","",W34*MGD!$M12+'g_en_c-factors'!AH34)</f>
        <v/>
      </c>
      <c r="M48" s="35" t="str">
        <f>IF(MGD!$L12="","",X34*MGD!$M12+'g_en_c-factors'!AI34)</f>
        <v/>
      </c>
    </row>
    <row r="49" spans="2:13" x14ac:dyDescent="0.2">
      <c r="B49" s="29">
        <v>3</v>
      </c>
      <c r="C49" s="30" t="str">
        <f>IF(MGD!$L13="","",N35*MGD!$M13+'g_en_c-factors'!Y35)</f>
        <v/>
      </c>
      <c r="D49" s="30" t="str">
        <f>IF(MGD!$L13="","",O35*MGD!$M13+'g_en_c-factors'!Z35)</f>
        <v/>
      </c>
      <c r="E49" s="30" t="str">
        <f>IF(MGD!$L13="","",P35*MGD!$M13+'g_en_c-factors'!AA35)</f>
        <v/>
      </c>
      <c r="F49" s="30" t="str">
        <f>IF(MGD!$L13="","",Q35*MGD!$M13+'g_en_c-factors'!AB35)</f>
        <v/>
      </c>
      <c r="G49" s="30" t="str">
        <f>IF(MGD!$L13="","",R35*MGD!$M13+'g_en_c-factors'!AC35)</f>
        <v/>
      </c>
      <c r="H49" s="30" t="str">
        <f>IF(MGD!$L13="","",S35*MGD!$M13+'g_en_c-factors'!AD35)</f>
        <v/>
      </c>
      <c r="I49" s="35" t="str">
        <f>IF(MGD!$L13="","",T35*MGD!$M13+'g_en_c-factors'!AE35)</f>
        <v/>
      </c>
      <c r="J49" s="35" t="str">
        <f>IF(MGD!$L13="","",U35*MGD!$M13+'g_en_c-factors'!AF35)</f>
        <v/>
      </c>
      <c r="K49" s="35" t="str">
        <f>IF(MGD!$L13="","",V35*MGD!$M13+'g_en_c-factors'!AG35)</f>
        <v/>
      </c>
      <c r="L49" s="35" t="str">
        <f>IF(MGD!$L13="","",W35*MGD!$M13+'g_en_c-factors'!AH35)</f>
        <v/>
      </c>
      <c r="M49" s="35" t="str">
        <f>IF(MGD!$L13="","",X35*MGD!$M13+'g_en_c-factors'!AI35)</f>
        <v/>
      </c>
    </row>
    <row r="50" spans="2:13" x14ac:dyDescent="0.2">
      <c r="B50" s="29">
        <v>4</v>
      </c>
      <c r="C50" s="30" t="str">
        <f>IF(MGD!$L14="","",N36*MGD!$M14+'g_en_c-factors'!Y36)</f>
        <v/>
      </c>
      <c r="D50" s="30" t="str">
        <f>IF(MGD!$L14="","",O36*MGD!$M14+'g_en_c-factors'!Z36)</f>
        <v/>
      </c>
      <c r="E50" s="30" t="str">
        <f>IF(MGD!$L14="","",P36*MGD!$M14+'g_en_c-factors'!AA36)</f>
        <v/>
      </c>
      <c r="F50" s="30" t="str">
        <f>IF(MGD!$L14="","",Q36*MGD!$M14+'g_en_c-factors'!AB36)</f>
        <v/>
      </c>
      <c r="G50" s="30" t="str">
        <f>IF(MGD!$L14="","",R36*MGD!$M14+'g_en_c-factors'!AC36)</f>
        <v/>
      </c>
      <c r="H50" s="30" t="str">
        <f>IF(MGD!$L14="","",S36*MGD!$M14+'g_en_c-factors'!AD36)</f>
        <v/>
      </c>
      <c r="I50" s="35" t="str">
        <f>IF(MGD!$L14="","",T36*MGD!$M14+'g_en_c-factors'!AE36)</f>
        <v/>
      </c>
      <c r="J50" s="35" t="str">
        <f>IF(MGD!$L14="","",U36*MGD!$M14+'g_en_c-factors'!AF36)</f>
        <v/>
      </c>
      <c r="K50" s="35" t="str">
        <f>IF(MGD!$L14="","",V36*MGD!$M14+'g_en_c-factors'!AG36)</f>
        <v/>
      </c>
      <c r="L50" s="35" t="str">
        <f>IF(MGD!$L14="","",W36*MGD!$M14+'g_en_c-factors'!AH36)</f>
        <v/>
      </c>
      <c r="M50" s="35" t="str">
        <f>IF(MGD!$L14="","",X36*MGD!$M14+'g_en_c-factors'!AI36)</f>
        <v/>
      </c>
    </row>
    <row r="51" spans="2:13" x14ac:dyDescent="0.2">
      <c r="B51" s="29">
        <v>5</v>
      </c>
      <c r="C51" s="30" t="str">
        <f>IF(MGD!$L15="","",N37*MGD!$M15+'g_en_c-factors'!Y37)</f>
        <v/>
      </c>
      <c r="D51" s="30" t="str">
        <f>IF(MGD!$L15="","",O37*MGD!$M15+'g_en_c-factors'!Z37)</f>
        <v/>
      </c>
      <c r="E51" s="30" t="str">
        <f>IF(MGD!$L15="","",P37*MGD!$M15+'g_en_c-factors'!AA37)</f>
        <v/>
      </c>
      <c r="F51" s="30" t="str">
        <f>IF(MGD!$L15="","",Q37*MGD!$M15+'g_en_c-factors'!AB37)</f>
        <v/>
      </c>
      <c r="G51" s="30" t="str">
        <f>IF(MGD!$L15="","",R37*MGD!$M15+'g_en_c-factors'!AC37)</f>
        <v/>
      </c>
      <c r="H51" s="30" t="str">
        <f>IF(MGD!$L15="","",S37*MGD!$M15+'g_en_c-factors'!AD37)</f>
        <v/>
      </c>
      <c r="I51" s="35" t="str">
        <f>IF(MGD!$L15="","",T37*MGD!$M15+'g_en_c-factors'!AE37)</f>
        <v/>
      </c>
      <c r="J51" s="35" t="str">
        <f>IF(MGD!$L15="","",U37*MGD!$M15+'g_en_c-factors'!AF37)</f>
        <v/>
      </c>
      <c r="K51" s="35" t="str">
        <f>IF(MGD!$L15="","",V37*MGD!$M15+'g_en_c-factors'!AG37)</f>
        <v/>
      </c>
      <c r="L51" s="35" t="str">
        <f>IF(MGD!$L15="","",W37*MGD!$M15+'g_en_c-factors'!AH37)</f>
        <v/>
      </c>
      <c r="M51" s="35" t="str">
        <f>IF(MGD!$L15="","",X37*MGD!$M15+'g_en_c-factors'!AI37)</f>
        <v/>
      </c>
    </row>
    <row r="52" spans="2:13" x14ac:dyDescent="0.2">
      <c r="B52" s="29">
        <v>6</v>
      </c>
      <c r="C52" s="30" t="str">
        <f>IF(MGD!$L16="","",N38*MGD!$M16+'g_en_c-factors'!Y38)</f>
        <v/>
      </c>
      <c r="D52" s="30" t="str">
        <f>IF(MGD!$L16="","",O38*MGD!$M16+'g_en_c-factors'!Z38)</f>
        <v/>
      </c>
      <c r="E52" s="30" t="str">
        <f>IF(MGD!$L16="","",P38*MGD!$M16+'g_en_c-factors'!AA38)</f>
        <v/>
      </c>
      <c r="F52" s="30" t="str">
        <f>IF(MGD!$L16="","",Q38*MGD!$M16+'g_en_c-factors'!AB38)</f>
        <v/>
      </c>
      <c r="G52" s="30" t="str">
        <f>IF(MGD!$L16="","",R38*MGD!$M16+'g_en_c-factors'!AC38)</f>
        <v/>
      </c>
      <c r="H52" s="30" t="str">
        <f>IF(MGD!$L16="","",S38*MGD!$M16+'g_en_c-factors'!AD38)</f>
        <v/>
      </c>
      <c r="I52" s="35" t="str">
        <f>IF(MGD!$L16="","",T38*MGD!$M16+'g_en_c-factors'!AE38)</f>
        <v/>
      </c>
      <c r="J52" s="35" t="str">
        <f>IF(MGD!$L16="","",U38*MGD!$M16+'g_en_c-factors'!AF38)</f>
        <v/>
      </c>
      <c r="K52" s="35" t="str">
        <f>IF(MGD!$L16="","",V38*MGD!$M16+'g_en_c-factors'!AG38)</f>
        <v/>
      </c>
      <c r="L52" s="35" t="str">
        <f>IF(MGD!$L16="","",W38*MGD!$M16+'g_en_c-factors'!AH38)</f>
        <v/>
      </c>
      <c r="M52" s="35" t="str">
        <f>IF(MGD!$L16="","",X38*MGD!$M16+'g_en_c-factors'!AI38)</f>
        <v/>
      </c>
    </row>
    <row r="53" spans="2:13" x14ac:dyDescent="0.2">
      <c r="B53" s="29">
        <v>7</v>
      </c>
      <c r="C53" s="30" t="str">
        <f>IF(MGD!$L17="","",N39*MGD!$M17+'g_en_c-factors'!Y39)</f>
        <v/>
      </c>
      <c r="D53" s="30" t="str">
        <f>IF(MGD!$L17="","",O39*MGD!$M17+'g_en_c-factors'!Z39)</f>
        <v/>
      </c>
      <c r="E53" s="30" t="str">
        <f>IF(MGD!$L17="","",P39*MGD!$M17+'g_en_c-factors'!AA39)</f>
        <v/>
      </c>
      <c r="F53" s="30" t="str">
        <f>IF(MGD!$L17="","",Q39*MGD!$M17+'g_en_c-factors'!AB39)</f>
        <v/>
      </c>
      <c r="G53" s="30" t="str">
        <f>IF(MGD!$L17="","",R39*MGD!$M17+'g_en_c-factors'!AC39)</f>
        <v/>
      </c>
      <c r="H53" s="30" t="str">
        <f>IF(MGD!$L17="","",S39*MGD!$M17+'g_en_c-factors'!AD39)</f>
        <v/>
      </c>
      <c r="I53" s="35" t="str">
        <f>IF(MGD!$L17="","",T39*MGD!$M17+'g_en_c-factors'!AE39)</f>
        <v/>
      </c>
      <c r="J53" s="35" t="str">
        <f>IF(MGD!$L17="","",U39*MGD!$M17+'g_en_c-factors'!AF39)</f>
        <v/>
      </c>
      <c r="K53" s="35" t="str">
        <f>IF(MGD!$L17="","",V39*MGD!$M17+'g_en_c-factors'!AG39)</f>
        <v/>
      </c>
      <c r="L53" s="35" t="str">
        <f>IF(MGD!$L17="","",W39*MGD!$M17+'g_en_c-factors'!AH39)</f>
        <v/>
      </c>
      <c r="M53" s="35" t="str">
        <f>IF(MGD!$L17="","",X39*MGD!$M17+'g_en_c-factors'!AI39)</f>
        <v/>
      </c>
    </row>
    <row r="54" spans="2:13" x14ac:dyDescent="0.2">
      <c r="B54" s="29">
        <v>8</v>
      </c>
      <c r="C54" s="30" t="str">
        <f>IF(MGD!$L18="","",N40*MGD!$M18+'g_en_c-factors'!Y40)</f>
        <v/>
      </c>
      <c r="D54" s="30" t="str">
        <f>IF(MGD!$L18="","",O42*MGD!$M18+'g_en_c-factors'!Z42)</f>
        <v/>
      </c>
      <c r="E54" s="30" t="str">
        <f>IF(MGD!$L18="","",P42*MGD!$M18+'g_en_c-factors'!AA42)</f>
        <v/>
      </c>
      <c r="F54" s="30" t="str">
        <f>IF(MGD!$L18="","",Q42*MGD!$M18+'g_en_c-factors'!AB42)</f>
        <v/>
      </c>
      <c r="G54" s="30" t="str">
        <f>IF(MGD!$L18="","",R42*MGD!$M18+'g_en_c-factors'!AC42)</f>
        <v/>
      </c>
      <c r="H54" s="30" t="str">
        <f>IF(MGD!$L18="","",S42*MGD!$M18+'g_en_c-factors'!AD42)</f>
        <v/>
      </c>
      <c r="I54" s="35" t="str">
        <f>IF(MGD!$L18="","",T42*MGD!$M18+'g_en_c-factors'!AE42)</f>
        <v/>
      </c>
      <c r="J54" s="35" t="str">
        <f>IF(MGD!$L18="","",U42*MGD!$M18+'g_en_c-factors'!AF42)</f>
        <v/>
      </c>
      <c r="K54" s="35" t="str">
        <f>IF(MGD!$L18="","",V42*MGD!$M18+'g_en_c-factors'!AG42)</f>
        <v/>
      </c>
      <c r="L54" s="35" t="str">
        <f>IF(MGD!$L18="","",W42*MGD!$M18+'g_en_c-factors'!AH42)</f>
        <v/>
      </c>
      <c r="M54" s="35" t="str">
        <f>IF(MGD!$L18="","",X42*MGD!$M18+'g_en_c-factors'!AI42)</f>
        <v/>
      </c>
    </row>
    <row r="55" spans="2:13" x14ac:dyDescent="0.2">
      <c r="B55" s="26">
        <v>9</v>
      </c>
      <c r="C55" s="32" t="str">
        <f>IF(MGD!$L19="","",N41*MGD!$M19+'g_en_c-factors'!Y41)</f>
        <v/>
      </c>
      <c r="D55" s="32" t="str">
        <f>IF(MGD!$L19="","",O43*MGD!$M19+'g_en_c-factors'!Z43)</f>
        <v/>
      </c>
      <c r="E55" s="32" t="str">
        <f>IF(MGD!$L19="","",P43*MGD!$M19+'g_en_c-factors'!AA43)</f>
        <v/>
      </c>
      <c r="F55" s="32" t="str">
        <f>IF(MGD!$L19="","",Q43*MGD!$M19+'g_en_c-factors'!AB43)</f>
        <v/>
      </c>
      <c r="G55" s="32" t="str">
        <f>IF(MGD!$L19="","",R43*MGD!$M19+'g_en_c-factors'!AC43)</f>
        <v/>
      </c>
      <c r="H55" s="32" t="str">
        <f>IF(MGD!$L19="","",S43*MGD!$M19+'g_en_c-factors'!AD43)</f>
        <v/>
      </c>
      <c r="I55" s="36" t="str">
        <f>IF(MGD!$L19="","",T43*MGD!$M19+'g_en_c-factors'!AE43)</f>
        <v/>
      </c>
      <c r="J55" s="36" t="str">
        <f>IF(MGD!$L19="","",U43*MGD!$M19+'g_en_c-factors'!AF43)</f>
        <v/>
      </c>
      <c r="K55" s="36" t="str">
        <f>IF(MGD!$L19="","",V43*MGD!$M19+'g_en_c-factors'!AG43)</f>
        <v/>
      </c>
      <c r="L55" s="36" t="str">
        <f>IF(MGD!$L19="","",W43*MGD!$M19+'g_en_c-factors'!AH43)</f>
        <v/>
      </c>
      <c r="M55" s="36" t="str">
        <f>IF(MGD!$L19="","",X43*MGD!$M19+'g_en_c-factors'!AI43)</f>
        <v/>
      </c>
    </row>
    <row r="56" spans="2:13" x14ac:dyDescent="0.2">
      <c r="B56" s="26">
        <v>10</v>
      </c>
      <c r="C56" s="32" t="str">
        <f>IF(MGD!$L20="","",N42*MGD!$M20+'g_en_c-factors'!Y42)</f>
        <v/>
      </c>
      <c r="D56" s="32" t="str">
        <f>IF(MGD!$L20="","",O42*MGD!$M20+'g_en_c-factors'!Z42)</f>
        <v/>
      </c>
      <c r="E56" s="32" t="str">
        <f>IF(MGD!$L20="","",P42*MGD!$M20+'g_en_c-factors'!AA42)</f>
        <v/>
      </c>
      <c r="F56" s="32" t="str">
        <f>IF(MGD!$L20="","",Q42*MGD!$M20+'g_en_c-factors'!AB42)</f>
        <v/>
      </c>
      <c r="G56" s="32" t="str">
        <f>IF(MGD!$L20="","",R42*MGD!$M20+'g_en_c-factors'!AC42)</f>
        <v/>
      </c>
      <c r="H56" s="32" t="str">
        <f>IF(MGD!$L20="","",S42*MGD!$M20+'g_en_c-factors'!AD42)</f>
        <v/>
      </c>
      <c r="I56" s="32" t="str">
        <f>IF(MGD!$L20="","",T42*MGD!$M20+'g_en_c-factors'!AE42)</f>
        <v/>
      </c>
      <c r="J56" s="32" t="str">
        <f>IF(MGD!$L20="","",U42*MGD!$M20+'g_en_c-factors'!AF42)</f>
        <v/>
      </c>
      <c r="K56" s="32" t="str">
        <f>IF(MGD!$L20="","",V42*MGD!$M20+'g_en_c-factors'!AG42)</f>
        <v/>
      </c>
      <c r="L56" s="32" t="str">
        <f>IF(MGD!$L20="","",W42*MGD!$M20+'g_en_c-factors'!AH42)</f>
        <v/>
      </c>
      <c r="M56" s="32" t="str">
        <f>IF(MGD!$L20="","",X42*MGD!$M20+'g_en_c-factors'!AI42)</f>
        <v/>
      </c>
    </row>
  </sheetData>
  <mergeCells count="12">
    <mergeCell ref="C46:M46"/>
    <mergeCell ref="B4:M4"/>
    <mergeCell ref="C5:M5"/>
    <mergeCell ref="C19:M19"/>
    <mergeCell ref="B18:M18"/>
    <mergeCell ref="B31:M31"/>
    <mergeCell ref="C32:M32"/>
    <mergeCell ref="N4:T4"/>
    <mergeCell ref="Y4:AE4"/>
    <mergeCell ref="N30:T30"/>
    <mergeCell ref="Y30:AE30"/>
    <mergeCell ref="B45:M45"/>
  </mergeCells>
  <phoneticPr fontId="5" type="noConversion"/>
  <pageMargins left="0.75" right="0.75" top="1" bottom="1" header="0.5" footer="0.5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S29"/>
  <sheetViews>
    <sheetView topLeftCell="I1" workbookViewId="0">
      <selection activeCell="S29" sqref="S29"/>
    </sheetView>
  </sheetViews>
  <sheetFormatPr defaultRowHeight="12.75" x14ac:dyDescent="0.2"/>
  <cols>
    <col min="1" max="1" width="5.5703125" style="2" customWidth="1"/>
    <col min="2" max="4" width="12.85546875" style="2" customWidth="1"/>
    <col min="5" max="8" width="9.140625" style="2"/>
    <col min="9" max="9" width="29.140625" style="2" bestFit="1" customWidth="1"/>
    <col min="10" max="21" width="9.140625" style="2"/>
    <col min="22" max="22" width="17.85546875" style="2" bestFit="1" customWidth="1"/>
    <col min="23" max="16384" width="9.140625" style="2"/>
  </cols>
  <sheetData>
    <row r="2" spans="2:19" x14ac:dyDescent="0.2">
      <c r="B2" s="168" t="s">
        <v>0</v>
      </c>
      <c r="C2" s="169"/>
      <c r="D2" s="1"/>
      <c r="I2" s="11"/>
      <c r="J2" s="11"/>
      <c r="K2" s="11"/>
      <c r="L2" s="11"/>
      <c r="M2" s="11"/>
      <c r="N2" s="11"/>
      <c r="O2" s="11"/>
      <c r="P2" s="11"/>
      <c r="Q2" s="11"/>
    </row>
    <row r="3" spans="2:19" x14ac:dyDescent="0.2">
      <c r="B3" s="7" t="s">
        <v>1</v>
      </c>
      <c r="C3" s="3">
        <v>1</v>
      </c>
      <c r="D3" s="1"/>
      <c r="I3" s="11" t="s">
        <v>5</v>
      </c>
      <c r="J3" s="11"/>
      <c r="K3" s="11"/>
      <c r="L3" s="11"/>
      <c r="M3" s="11"/>
      <c r="N3" s="11"/>
      <c r="O3" s="11"/>
      <c r="P3" s="11"/>
      <c r="Q3" s="11"/>
    </row>
    <row r="4" spans="2:19" x14ac:dyDescent="0.2">
      <c r="B4" s="7" t="s">
        <v>2</v>
      </c>
      <c r="C4" s="3">
        <v>1.0169999999999999</v>
      </c>
      <c r="D4" s="1"/>
      <c r="I4" s="11" t="s">
        <v>13</v>
      </c>
      <c r="J4" s="12" t="s">
        <v>14</v>
      </c>
      <c r="K4" s="12" t="s">
        <v>15</v>
      </c>
      <c r="L4" s="12" t="s">
        <v>16</v>
      </c>
      <c r="M4" s="12" t="s">
        <v>17</v>
      </c>
      <c r="N4" s="12" t="s">
        <v>18</v>
      </c>
      <c r="O4" s="12" t="s">
        <v>19</v>
      </c>
      <c r="P4" s="11"/>
      <c r="Q4" s="11"/>
    </row>
    <row r="5" spans="2:19" x14ac:dyDescent="0.2">
      <c r="B5" s="7" t="s">
        <v>3</v>
      </c>
      <c r="C5" s="3">
        <v>1.0609999999999999</v>
      </c>
      <c r="D5" s="1"/>
      <c r="I5" s="13" t="s">
        <v>20</v>
      </c>
      <c r="J5" s="14">
        <v>1.0630423222773095</v>
      </c>
      <c r="K5" s="14">
        <v>1.0535345257204853</v>
      </c>
      <c r="L5" s="14">
        <v>1.0484455882188994</v>
      </c>
      <c r="M5" s="14">
        <v>1.0428678273273673</v>
      </c>
      <c r="N5" s="14">
        <v>1.0368419127943413</v>
      </c>
      <c r="O5" s="14">
        <v>1.0423855799833408</v>
      </c>
      <c r="P5" s="11"/>
      <c r="Q5" s="11"/>
    </row>
    <row r="6" spans="2:19" x14ac:dyDescent="0.2">
      <c r="B6" s="7" t="s">
        <v>5</v>
      </c>
      <c r="C6" s="3">
        <v>1.042</v>
      </c>
      <c r="D6" s="1"/>
      <c r="I6" s="11" t="s">
        <v>21</v>
      </c>
      <c r="J6" s="15">
        <v>2.5845336918920842E-2</v>
      </c>
      <c r="K6" s="15">
        <v>2.6211510066249496E-2</v>
      </c>
      <c r="L6" s="15">
        <v>2.9292595897750504E-2</v>
      </c>
      <c r="M6" s="15">
        <v>3.1229646448412522E-2</v>
      </c>
      <c r="N6" s="15">
        <v>4.1074498974026083E-2</v>
      </c>
      <c r="O6" s="15">
        <v>4.6174304591845045E-2</v>
      </c>
      <c r="P6" s="11"/>
      <c r="Q6" s="11"/>
    </row>
    <row r="7" spans="2:19" x14ac:dyDescent="0.2">
      <c r="B7" s="123" t="s">
        <v>6</v>
      </c>
      <c r="C7" s="125">
        <v>1.05</v>
      </c>
      <c r="I7" s="11"/>
      <c r="J7" s="15"/>
      <c r="K7" s="15"/>
      <c r="L7" s="15"/>
      <c r="M7" s="15"/>
      <c r="N7" s="15"/>
      <c r="O7" s="15"/>
      <c r="P7" s="11"/>
      <c r="Q7" s="11"/>
    </row>
    <row r="8" spans="2:19" x14ac:dyDescent="0.2">
      <c r="B8" s="18" t="s">
        <v>4</v>
      </c>
      <c r="C8" s="124">
        <v>1.042</v>
      </c>
      <c r="I8" s="11" t="s">
        <v>23</v>
      </c>
      <c r="J8" s="11"/>
      <c r="K8" s="11"/>
      <c r="L8" s="11"/>
      <c r="M8" s="11"/>
      <c r="N8" s="11"/>
      <c r="O8" s="11"/>
      <c r="P8" s="11"/>
      <c r="Q8" s="11"/>
    </row>
    <row r="9" spans="2:19" x14ac:dyDescent="0.2">
      <c r="I9" s="11" t="s">
        <v>47</v>
      </c>
      <c r="J9" s="11">
        <v>2</v>
      </c>
      <c r="K9" s="11">
        <v>3</v>
      </c>
      <c r="L9" s="11">
        <v>4</v>
      </c>
      <c r="M9" s="11">
        <v>4.5</v>
      </c>
      <c r="N9" s="11">
        <v>5</v>
      </c>
      <c r="O9" s="11">
        <v>6</v>
      </c>
      <c r="P9" s="11">
        <v>7</v>
      </c>
      <c r="Q9" s="11">
        <v>8</v>
      </c>
    </row>
    <row r="10" spans="2:19" x14ac:dyDescent="0.2">
      <c r="I10" s="11" t="s">
        <v>22</v>
      </c>
      <c r="J10" s="11">
        <v>21</v>
      </c>
      <c r="K10" s="11">
        <v>32</v>
      </c>
      <c r="L10" s="11">
        <v>45</v>
      </c>
      <c r="M10" s="11">
        <v>53</v>
      </c>
      <c r="N10" s="11">
        <v>60</v>
      </c>
      <c r="O10" s="11">
        <v>75</v>
      </c>
      <c r="P10" s="11">
        <v>90</v>
      </c>
      <c r="Q10" s="11">
        <v>103</v>
      </c>
    </row>
    <row r="11" spans="2:19" x14ac:dyDescent="0.2">
      <c r="I11" s="13" t="s">
        <v>20</v>
      </c>
      <c r="J11" s="16">
        <v>1.0749319508999999</v>
      </c>
      <c r="K11" s="16">
        <v>1.1041764991999998</v>
      </c>
      <c r="L11" s="16">
        <v>1.1339999999999999</v>
      </c>
      <c r="M11" s="16">
        <v>1.149</v>
      </c>
      <c r="N11" s="16">
        <v>1.1599999999999999</v>
      </c>
      <c r="O11" s="16">
        <v>1.181</v>
      </c>
      <c r="P11" s="16">
        <v>1.198</v>
      </c>
      <c r="Q11" s="11">
        <v>1.208</v>
      </c>
    </row>
    <row r="12" spans="2:19" x14ac:dyDescent="0.2">
      <c r="I12" s="63" t="s">
        <v>22</v>
      </c>
      <c r="J12" s="63">
        <v>20</v>
      </c>
      <c r="K12" s="63">
        <v>30</v>
      </c>
      <c r="L12" s="63">
        <v>40</v>
      </c>
      <c r="M12" s="63">
        <v>50</v>
      </c>
      <c r="N12" s="63">
        <v>60</v>
      </c>
      <c r="O12" s="63">
        <v>70</v>
      </c>
      <c r="P12" s="63">
        <v>80</v>
      </c>
      <c r="Q12" s="63">
        <v>90</v>
      </c>
      <c r="R12" s="63">
        <v>100</v>
      </c>
      <c r="S12" s="63">
        <v>110</v>
      </c>
    </row>
    <row r="13" spans="2:19" x14ac:dyDescent="0.2">
      <c r="B13" s="165" t="s">
        <v>40</v>
      </c>
      <c r="C13" s="166"/>
      <c r="D13" s="167"/>
      <c r="I13" s="63"/>
      <c r="J13" s="63">
        <v>2</v>
      </c>
      <c r="K13" s="63">
        <v>3</v>
      </c>
      <c r="L13" s="63">
        <v>4</v>
      </c>
      <c r="M13" s="63">
        <v>5</v>
      </c>
      <c r="N13" s="63">
        <v>6</v>
      </c>
      <c r="O13" s="63">
        <v>7</v>
      </c>
      <c r="P13" s="63">
        <v>8</v>
      </c>
      <c r="Q13" s="63">
        <v>9</v>
      </c>
      <c r="R13" s="63">
        <v>10</v>
      </c>
      <c r="S13" s="63">
        <v>11</v>
      </c>
    </row>
    <row r="14" spans="2:19" x14ac:dyDescent="0.2">
      <c r="B14" s="6" t="s">
        <v>8</v>
      </c>
      <c r="C14" s="10" t="s">
        <v>9</v>
      </c>
      <c r="D14" s="9" t="s">
        <v>38</v>
      </c>
      <c r="I14" s="13" t="s">
        <v>52</v>
      </c>
      <c r="J14" s="16">
        <f>J11</f>
        <v>1.0749319508999999</v>
      </c>
      <c r="K14" s="16">
        <f t="shared" ref="K14:P14" si="0">(K11-J11)/(K10-J10)*(K12-J10)+J11</f>
        <v>1.0988593085999998</v>
      </c>
      <c r="L14" s="16">
        <f t="shared" si="0"/>
        <v>1.1225294227692306</v>
      </c>
      <c r="M14" s="16">
        <f t="shared" si="0"/>
        <v>1.143375</v>
      </c>
      <c r="N14" s="16">
        <f t="shared" si="0"/>
        <v>1.1599999999999999</v>
      </c>
      <c r="O14" s="16">
        <f t="shared" si="0"/>
        <v>1.1739999999999999</v>
      </c>
      <c r="P14" s="16">
        <f t="shared" si="0"/>
        <v>1.1866666666666668</v>
      </c>
      <c r="Q14" s="16">
        <f>($Q11-$P11)/($Q10-$P10)*(Q12-$P10)+$P11</f>
        <v>1.198</v>
      </c>
      <c r="R14" s="16">
        <f>($Q11-$P11)/($Q10-$P10)*(R12-$P10)+$P11</f>
        <v>1.2056923076923076</v>
      </c>
      <c r="S14" s="16"/>
    </row>
    <row r="15" spans="2:19" x14ac:dyDescent="0.2">
      <c r="B15" s="18" t="s">
        <v>11</v>
      </c>
      <c r="C15" s="8" t="s">
        <v>11</v>
      </c>
      <c r="D15" s="5" t="s">
        <v>39</v>
      </c>
      <c r="I15" s="11"/>
      <c r="J15" s="11"/>
      <c r="K15" s="11"/>
      <c r="L15" s="11"/>
      <c r="M15" s="11"/>
      <c r="N15" s="11"/>
      <c r="O15" s="11"/>
      <c r="P15" s="11"/>
      <c r="Q15" s="11"/>
    </row>
    <row r="16" spans="2:19" x14ac:dyDescent="0.2">
      <c r="B16" s="7">
        <v>2</v>
      </c>
      <c r="C16" s="19">
        <v>2.1</v>
      </c>
      <c r="D16" s="4">
        <v>97</v>
      </c>
      <c r="I16" s="11" t="s">
        <v>24</v>
      </c>
      <c r="J16" s="11"/>
      <c r="K16" s="11"/>
      <c r="L16" s="11"/>
      <c r="M16" s="11"/>
      <c r="N16" s="11"/>
      <c r="O16" s="11"/>
      <c r="P16" s="11"/>
      <c r="Q16" s="11"/>
    </row>
    <row r="17" spans="2:19" x14ac:dyDescent="0.2">
      <c r="B17" s="7">
        <v>3</v>
      </c>
      <c r="C17" s="19">
        <v>3.2</v>
      </c>
      <c r="D17" s="4">
        <v>67</v>
      </c>
      <c r="I17" s="11" t="s">
        <v>25</v>
      </c>
      <c r="J17" s="11"/>
      <c r="K17" s="11"/>
      <c r="L17" s="11"/>
      <c r="M17" s="11"/>
      <c r="N17" s="11"/>
      <c r="O17" s="11"/>
      <c r="P17" s="11"/>
      <c r="Q17" s="11"/>
    </row>
    <row r="18" spans="2:19" x14ac:dyDescent="0.2">
      <c r="B18" s="7">
        <v>4</v>
      </c>
      <c r="C18" s="19">
        <v>4.5</v>
      </c>
      <c r="D18" s="4">
        <v>41</v>
      </c>
      <c r="I18" s="17" t="s">
        <v>26</v>
      </c>
      <c r="J18" s="11"/>
      <c r="K18" s="11"/>
      <c r="L18" s="11"/>
      <c r="M18" s="11"/>
      <c r="N18" s="11"/>
      <c r="O18" s="11"/>
      <c r="P18" s="11"/>
      <c r="Q18" s="11"/>
    </row>
    <row r="19" spans="2:19" x14ac:dyDescent="0.2">
      <c r="B19" s="7">
        <v>5</v>
      </c>
      <c r="C19" s="19">
        <v>6</v>
      </c>
      <c r="D19" s="4">
        <v>21</v>
      </c>
      <c r="I19" s="17">
        <v>39711</v>
      </c>
      <c r="J19" s="11"/>
      <c r="K19" s="11"/>
      <c r="L19" s="11"/>
      <c r="M19" s="11"/>
      <c r="N19" s="11"/>
      <c r="O19" s="11"/>
      <c r="P19" s="11"/>
      <c r="Q19" s="11"/>
    </row>
    <row r="20" spans="2:19" x14ac:dyDescent="0.2">
      <c r="B20" s="7">
        <v>6</v>
      </c>
      <c r="C20" s="19">
        <v>7.5</v>
      </c>
      <c r="D20" s="4">
        <v>9</v>
      </c>
      <c r="I20" s="11"/>
      <c r="J20" s="11"/>
      <c r="K20" s="11"/>
      <c r="L20" s="11"/>
      <c r="M20" s="11"/>
      <c r="N20" s="11"/>
      <c r="O20" s="11"/>
      <c r="P20" s="11"/>
      <c r="Q20" s="11"/>
    </row>
    <row r="21" spans="2:19" x14ac:dyDescent="0.2">
      <c r="B21" s="7">
        <v>7</v>
      </c>
      <c r="C21" s="19">
        <v>9</v>
      </c>
      <c r="D21" s="4">
        <v>4</v>
      </c>
      <c r="I21" s="11" t="s">
        <v>50</v>
      </c>
      <c r="J21" s="11"/>
      <c r="K21" s="11"/>
      <c r="L21" s="11"/>
      <c r="M21" s="11"/>
      <c r="N21" s="11"/>
      <c r="O21" s="11"/>
      <c r="P21" s="11"/>
      <c r="Q21" s="11"/>
    </row>
    <row r="22" spans="2:19" x14ac:dyDescent="0.2">
      <c r="B22" s="18">
        <v>8</v>
      </c>
      <c r="C22" s="20">
        <v>10.3</v>
      </c>
      <c r="D22" s="5">
        <v>3</v>
      </c>
      <c r="I22" s="11" t="s">
        <v>53</v>
      </c>
      <c r="J22" s="11"/>
      <c r="K22" s="11"/>
      <c r="L22" s="11"/>
      <c r="M22" s="11"/>
      <c r="N22" s="11"/>
      <c r="O22" s="11"/>
      <c r="P22" s="11"/>
      <c r="Q22" s="11"/>
    </row>
    <row r="23" spans="2:19" x14ac:dyDescent="0.2">
      <c r="I23" s="63" t="s">
        <v>22</v>
      </c>
      <c r="J23" s="63">
        <v>20</v>
      </c>
      <c r="K23" s="63">
        <v>30</v>
      </c>
      <c r="L23" s="63">
        <v>40</v>
      </c>
      <c r="M23" s="63">
        <v>50</v>
      </c>
      <c r="N23" s="63">
        <v>60</v>
      </c>
      <c r="O23" s="63">
        <v>70</v>
      </c>
      <c r="P23" s="63">
        <v>80</v>
      </c>
      <c r="Q23" s="63">
        <v>90</v>
      </c>
      <c r="R23" s="63">
        <v>100</v>
      </c>
      <c r="S23" s="63">
        <v>110</v>
      </c>
    </row>
    <row r="24" spans="2:19" x14ac:dyDescent="0.2">
      <c r="I24" s="63"/>
      <c r="J24" s="63">
        <f>J23/10</f>
        <v>2</v>
      </c>
      <c r="K24" s="63">
        <f t="shared" ref="K24:S24" si="1">K23/10</f>
        <v>3</v>
      </c>
      <c r="L24" s="63">
        <f t="shared" si="1"/>
        <v>4</v>
      </c>
      <c r="M24" s="63">
        <f t="shared" si="1"/>
        <v>5</v>
      </c>
      <c r="N24" s="63">
        <f t="shared" si="1"/>
        <v>6</v>
      </c>
      <c r="O24" s="63">
        <f t="shared" si="1"/>
        <v>7</v>
      </c>
      <c r="P24" s="63">
        <f t="shared" si="1"/>
        <v>8</v>
      </c>
      <c r="Q24" s="63">
        <f t="shared" si="1"/>
        <v>9</v>
      </c>
      <c r="R24" s="63">
        <f t="shared" si="1"/>
        <v>10</v>
      </c>
      <c r="S24" s="63">
        <f t="shared" si="1"/>
        <v>11</v>
      </c>
    </row>
    <row r="25" spans="2:19" x14ac:dyDescent="0.2">
      <c r="I25" s="64" t="s">
        <v>20</v>
      </c>
      <c r="J25" s="65">
        <v>1.052</v>
      </c>
      <c r="K25" s="65">
        <v>1.06</v>
      </c>
      <c r="L25" s="65">
        <v>1.0760000000000001</v>
      </c>
      <c r="M25" s="65">
        <v>1.087</v>
      </c>
      <c r="N25" s="65">
        <v>1.105</v>
      </c>
      <c r="O25" s="65">
        <v>1.121</v>
      </c>
      <c r="P25" s="65">
        <v>1.129</v>
      </c>
      <c r="Q25" s="64">
        <v>1.1359999999999999</v>
      </c>
      <c r="R25" s="64">
        <v>1.1399999999999999</v>
      </c>
      <c r="S25" s="64">
        <v>1.1439999999999999</v>
      </c>
    </row>
    <row r="26" spans="2:19" x14ac:dyDescent="0.2">
      <c r="I26" s="66" t="s">
        <v>54</v>
      </c>
    </row>
    <row r="27" spans="2:19" x14ac:dyDescent="0.2">
      <c r="I27" s="66" t="s">
        <v>47</v>
      </c>
      <c r="J27" s="66">
        <v>2</v>
      </c>
      <c r="K27" s="66">
        <v>3</v>
      </c>
      <c r="L27" s="66">
        <v>4</v>
      </c>
      <c r="M27" s="66">
        <v>4.5</v>
      </c>
      <c r="N27" s="66">
        <v>5</v>
      </c>
      <c r="O27" s="66">
        <v>6</v>
      </c>
      <c r="P27" s="66">
        <v>7</v>
      </c>
    </row>
    <row r="28" spans="2:19" x14ac:dyDescent="0.2">
      <c r="I28" s="66" t="s">
        <v>51</v>
      </c>
      <c r="J28" s="66">
        <v>21</v>
      </c>
      <c r="K28" s="66">
        <v>32</v>
      </c>
      <c r="L28" s="66">
        <v>45</v>
      </c>
      <c r="M28" s="66">
        <v>53</v>
      </c>
      <c r="N28" s="66">
        <v>60</v>
      </c>
      <c r="O28" s="66">
        <v>75</v>
      </c>
      <c r="P28" s="66">
        <v>90</v>
      </c>
    </row>
    <row r="29" spans="2:19" x14ac:dyDescent="0.2">
      <c r="I29" s="67" t="s">
        <v>52</v>
      </c>
      <c r="J29" s="68">
        <v>1.052</v>
      </c>
      <c r="K29" s="68">
        <v>1.0640000000000001</v>
      </c>
      <c r="L29" s="68">
        <v>1.0820000000000001</v>
      </c>
      <c r="M29" s="68">
        <v>1.0940000000000001</v>
      </c>
      <c r="N29" s="68">
        <v>1.105</v>
      </c>
      <c r="O29" s="68">
        <v>1.123</v>
      </c>
      <c r="P29" s="68">
        <v>1.1419999999999999</v>
      </c>
    </row>
  </sheetData>
  <sortState xmlns:xlrd2="http://schemas.microsoft.com/office/spreadsheetml/2017/richdata2" ref="B3:C8">
    <sortCondition ref="B3"/>
  </sortState>
  <mergeCells count="2">
    <mergeCell ref="B13:D13"/>
    <mergeCell ref="B2:C2"/>
  </mergeCells>
  <phoneticPr fontId="5" type="noConversion"/>
  <pageMargins left="0.75" right="0.75" top="1" bottom="1" header="0.5" footer="0.5"/>
  <headerFooter alignWithMargins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MGD</vt:lpstr>
      <vt:lpstr>g_en_c-factors</vt:lpstr>
      <vt:lpstr>S-factors</vt:lpstr>
    </vt:vector>
  </TitlesOfParts>
  <Company>CWZ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z114170</dc:creator>
  <cp:lastModifiedBy>Tamara van der Linden</cp:lastModifiedBy>
  <dcterms:created xsi:type="dcterms:W3CDTF">2008-10-23T06:16:55Z</dcterms:created>
  <dcterms:modified xsi:type="dcterms:W3CDTF">2022-12-02T09:02:32Z</dcterms:modified>
</cp:coreProperties>
</file>